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officeDocument/2006/relationships/extended-properties" Target="docProps/app.xml" /><Relationship Id="rId1" Type="http://schemas.openxmlformats.org/officeDocument/2006/relationships/officeDocument" Target="xl/workbook.xml" /><Relationship Id="rId3"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fileVersion appName="xl" lastEdited="7" lowestEdited="5" rupBuild="26731"/>
  <workbookPr codeName="ThisWorkbook" defaultThemeVersion="124226"/>
  <bookViews>
    <workbookView xWindow="-110" yWindow="-110" windowWidth="19420" windowHeight="10420" tabRatio="886" firstSheet="1" activeTab="1"/>
  </bookViews>
  <sheets>
    <sheet name="Guidance" sheetId="16" r:id="rId1" state="hidden"/>
    <sheet name="Study Information &amp; rates" sheetId="7" r:id="rId2"/>
    <sheet name="Total summary" sheetId="6" r:id="rId3" state="hidden"/>
    <sheet name="Budget" sheetId="25" r:id="rId4" state="hidden"/>
    <sheet name="R&amp;D Overheads data" sheetId="19" r:id="rId5" state="hidden"/>
    <sheet name="Look Up" sheetId="18" r:id="rId6" state="hidden"/>
    <sheet name="Total Summary and Budget" sheetId="43" r:id="rId7"/>
    <sheet name="UHS Individual cost" sheetId="48" r:id="rId8"/>
    <sheet name="Per patient Arm 1" sheetId="26" r:id="rId9"/>
    <sheet name="Per patient Arm 2" sheetId="1" r:id="rId10"/>
    <sheet name="Per patient Arm 3" sheetId="30" r:id="rId11" state="hidden"/>
    <sheet name="Per patient Arm 4" sheetId="34" r:id="rId12" state="hidden"/>
    <sheet name="Per patient Arm 5" sheetId="38" r:id="rId13" state="hidden"/>
    <sheet name="Additional Study Activities" sheetId="5" r:id="rId14"/>
    <sheet name="CRF" sheetId="46" r:id="rId15"/>
    <sheet name="Pathology" sheetId="44" r:id="rId16"/>
    <sheet name="Pharmacy" sheetId="15" r:id="rId17"/>
    <sheet name="Radiology" sheetId="45" r:id="rId18"/>
    <sheet name="PPI dissemination breakdown" sheetId="49" r:id="rId19" state="hidden"/>
    <sheet name="Set-up and other costs" sheetId="8" r:id="rId20"/>
    <sheet name="Reconciliation" sheetId="42" r:id="rId21" state="hidden"/>
    <sheet name="R&amp;D Authorisation Sheet" sheetId="23" r:id="rId22" state="hidden"/>
    <sheet name="Data Sheet Costs" sheetId="17" r:id="rId23" state="hidden"/>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comment="" localSheetId="22" hidden="1">'Data Sheet Costs'!$A$8:$N$1117</definedName>
    <definedName name="_xlnm._FilterDatabase" comment="" localSheetId="8" hidden="1">'Per patient Arm 1'!$A$6:$BW$52</definedName>
    <definedName name="_xlnm._FilterDatabase" comment="" localSheetId="9" hidden="1">'Per patient Arm 2'!$A$7:$BV$82</definedName>
    <definedName name="_xlnm._FilterDatabase" comment="" localSheetId="6" hidden="1">'Total Summary and Budget'!$B$19:$E$19</definedName>
    <definedName name="AcCord" comment="">'Look Up'!$A$5:$A$9</definedName>
    <definedName name="Alan" comment="">'Look Up'!$A$29:$A$31</definedName>
    <definedName name="Alan2" comment="">'Look Up'!$A$30:$A$31</definedName>
    <definedName name="Area_of_Activity_study_in_general" comment="">'[1]Menu Data'!$A$2:$A$6</definedName>
    <definedName name="Cost_Type" comment="" localSheetId="3">'[2]Lists'!$AE$3:$AE$6</definedName>
    <definedName name="Cost_Type" comment="">'[2]Lists'!$AE$3:$AE$6</definedName>
    <definedName name="CostList" comment="" localSheetId="15">'[3]Data Sheet Costs'!$A$9:$A$1112</definedName>
    <definedName name="CostList" comment="" localSheetId="17">'[3]Data Sheet Costs'!$A$9:$A$1112</definedName>
    <definedName name="costlist" comment="" localSheetId="6">'[4]Data Sheet Costs'!$A$9:$A$1112</definedName>
    <definedName name="CostList" comment="">'Data Sheet Costs'!$A$9:$A$1112</definedName>
    <definedName name="Costs_Fall_To" comment="" localSheetId="3">'[2]Lists'!$AC$3:$AC$16</definedName>
    <definedName name="Costs_Fall_To" comment="">'[2]Lists'!$AC$3:$AC$16</definedName>
    <definedName name="Educational" comment="" localSheetId="3">'[2]Lists'!$W$3:$W$9</definedName>
    <definedName name="Educational" comment="">'[2]Lists'!$W$3:$W$9</definedName>
    <definedName name="Emily" comment="">'Look Up'!$A$33:$A$34</definedName>
    <definedName name="Nope" comment="" localSheetId="15">'[3]Set-up and other costs'!$C$4</definedName>
    <definedName name="Nope" comment="" localSheetId="17">'[3]Set-up and other costs'!$C$4</definedName>
    <definedName name="Nope" comment="">'Set-up and other costs'!$C$4</definedName>
    <definedName name="Nope1" comment="" localSheetId="15">'[3]Per patient Arm 1'!$AS$51</definedName>
    <definedName name="Nope1" comment="" localSheetId="17">'[3]Per patient Arm 1'!$AS$51</definedName>
    <definedName name="Nope1" comment="">'Per patient Arm 2'!$AT$52</definedName>
    <definedName name="Nope2" comment="" localSheetId="15">'[3]Per patient Arm 2'!$AS$51</definedName>
    <definedName name="Nope2" comment="" localSheetId="17">'[3]Per patient Arm 2'!$AS$51</definedName>
    <definedName name="Nope2" comment="">'Per patient Arm 1'!$AT$51</definedName>
    <definedName name="Nope3" comment="" localSheetId="15">'[3]Per patient Arm 3'!$AS$51</definedName>
    <definedName name="Nope3" comment="" localSheetId="17">'[3]Per patient Arm 3'!$AS$51</definedName>
    <definedName name="Nope3" comment="">'Per patient Arm 3'!$AT$52</definedName>
    <definedName name="Nope4" comment="" localSheetId="15">'[3]Per patient Arm 4'!$AS$51</definedName>
    <definedName name="Nope4" comment="" localSheetId="17">'[3]Per patient Arm 4'!$AS$51</definedName>
    <definedName name="Nope4" comment="">'Per patient Arm 4'!$AT$52</definedName>
    <definedName name="Nope5" comment="" localSheetId="15">'[3]Per patient Arm 5'!$AS$51</definedName>
    <definedName name="Nope5" comment="" localSheetId="17">'[3]Per patient Arm 5'!$AS$51</definedName>
    <definedName name="Nope5" comment="">'Per patient Arm 5'!$AT$52</definedName>
    <definedName name="Others" comment="">'[4]Look Up'!$A$15:$A$18</definedName>
    <definedName name="Position" comment="">'Look Up'!$A$22:$B$27</definedName>
    <definedName name="_xlnm.Print_Area" comment="" localSheetId="22">'Data Sheet Costs'!$A$8:$H$27</definedName>
    <definedName name="_xlnm.Print_Area" comment="" localSheetId="20">Reconciliation!$A$1:$G$55</definedName>
    <definedName name="_xlnm.Print_Area" comment="" localSheetId="1">'Study Information &amp; rates'!$A$52:$F$52</definedName>
    <definedName name="Procedure" comment="">'[5]Lists'!$A$54:$A$71</definedName>
    <definedName name="Procedures" comment="" localSheetId="3">'[2]Lists'!$AA$3:$AA$22</definedName>
    <definedName name="Procedures" comment="">'[2]Lists'!$AA$3:$AA$22</definedName>
    <definedName name="Process" comment="" localSheetId="3">'[2]Lists'!$AF$3:$AF$53</definedName>
    <definedName name="Process" comment="">'[2]Lists'!$AF$3:$AF$53</definedName>
    <definedName name="Project_Complete" comment="" localSheetId="3">'[2]Lists'!$AD$3:$AD$5</definedName>
    <definedName name="Project_Complete" comment="">'[2]Lists'!$AD$3:$AD$5</definedName>
    <definedName name="Project_Costs" comment="" localSheetId="3">'[2]Lists'!$A$3:$A$21</definedName>
    <definedName name="Project_Costs" comment="">'[2]Lists'!$A$3:$A$21</definedName>
    <definedName name="Rose" comment="">'Study Information &amp; rates'!$V$12:$V$19</definedName>
    <definedName name="Set_up" comment="" localSheetId="3">'[2]Lists'!$X$3:$X$12</definedName>
    <definedName name="Set_up" comment="">'[2]Lists'!$X$3:$X$12</definedName>
    <definedName name="Study_Type" comment="" localSheetId="3">'[2]Lists'!$V$3:$V$7</definedName>
    <definedName name="Study_Type" comment="">'[2]Lists'!$V$3:$V$7</definedName>
    <definedName name="Supportdepartments" comment="" localSheetId="15">'[3]Look Up'!$A$16:$A$19</definedName>
    <definedName name="Supportdepartments" comment="" localSheetId="17">'[3]Look Up'!$A$16:$A$19</definedName>
    <definedName name="Supportdepartments" comment="">'Look Up'!$A$16:$A$20</definedName>
    <definedName name="Treatment" comment="">'[4]Look Up'!$A$5:$A$8</definedName>
    <definedName name="UNDERTAKEN_BY" comment="">'[1]Staff Cost Table'!$B$4:$B$21</definedName>
  </definedNames>
  <calcPr fullPrecision="1"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Chibwana, Prince</author>
    <author>Ette, Emenere</author>
  </authors>
  <commentList>
    <comment ref="K54" authorId="0">
      <text>
        <r>
          <t/>
        </r>
        <r>
          <rPr>
            <b/>
            <sz val="9"/>
            <color indexed="81"/>
            <rFont val="Tahoma"/>
            <family val="2"/>
            <charset val="0"/>
          </rPr>
          <t>Chibwana, Prince:</t>
        </r>
        <r>
          <rPr>
            <sz val="9"/>
            <color indexed="81"/>
            <rFont val="Tahoma"/>
            <family val="2"/>
            <charset val="0"/>
          </rPr>
          <t xml:space="preserve">
should match C41
</t>
        </r>
      </text>
    </comment>
    <comment ref="B16" authorId="1">
      <text>
        <r>
          <t/>
        </r>
        <r>
          <rPr>
            <b/>
            <sz val="9"/>
            <color indexed="81"/>
            <rFont val="Tahoma"/>
            <family val="2"/>
            <charset val="0"/>
          </rPr>
          <t>Ette, Emenere:</t>
        </r>
        <r>
          <rPr>
            <sz val="9"/>
            <color indexed="81"/>
            <rFont val="Tahoma"/>
            <family val="2"/>
            <charset val="0"/>
          </rPr>
          <t xml:space="preserve">
Inset Income  from Funder (Income should be inputed with a negative sign infront</t>
        </r>
      </text>
    </comment>
  </commentList>
</comments>
</file>

<file path=xl/comments2.xml><?xml version="1.0" encoding="utf-8"?>
<comments xmlns="http://schemas.openxmlformats.org/spreadsheetml/2006/main">
  <authors>
    <author>Ette, Emenere</author>
  </authors>
  <commentList>
    <comment ref="A59" authorId="0">
      <text>
        <r>
          <t/>
        </r>
        <r>
          <rPr>
            <b/>
            <sz val="9"/>
            <color indexed="81"/>
            <rFont val="Tahoma"/>
            <family val="2"/>
            <charset val="0"/>
          </rPr>
          <t>Ette, Emenere:</t>
        </r>
        <r>
          <rPr>
            <sz val="9"/>
            <color indexed="81"/>
            <rFont val="Tahoma"/>
            <family val="2"/>
            <charset val="0"/>
          </rPr>
          <t xml:space="preserve">
including meal, hotel and transportation</t>
        </r>
      </text>
    </comment>
  </commentList>
</comments>
</file>

<file path=xl/comments3.xml><?xml version="1.0" encoding="utf-8"?>
<comments xmlns="http://schemas.openxmlformats.org/spreadsheetml/2006/main">
  <authors>
    <author>Jennings, Avalon</author>
  </authors>
  <commentList>
    <comment ref="A25" authorId="0">
      <text>
        <r>
          <t/>
        </r>
        <r>
          <rPr>
            <b/>
            <sz val="9"/>
            <color indexed="81"/>
            <rFont val="Tahoma"/>
            <family val="2"/>
            <charset val="0"/>
          </rPr>
          <t>Jennings, Avalon:</t>
        </r>
        <r>
          <rPr>
            <sz val="9"/>
            <color indexed="81"/>
            <rFont val="Tahoma"/>
            <family val="2"/>
            <charset val="0"/>
          </rPr>
          <t xml:space="preserve">
PPI Officer for trust is Caroline Barker - liaise with Caroline for any PPI questions</t>
        </r>
      </text>
    </comment>
  </commentList>
</comments>
</file>

<file path=xl/comments4.xml><?xml version="1.0" encoding="utf-8"?>
<comments xmlns="http://schemas.openxmlformats.org/spreadsheetml/2006/main">
  <authors>
    <author>Jennings, Avalon</author>
  </authors>
  <commentList>
    <comment ref="A20" authorId="0">
      <text>
        <r>
          <t/>
        </r>
        <r>
          <rPr>
            <b/>
            <sz val="9"/>
            <color indexed="81"/>
            <rFont val="Tahoma"/>
            <family val="2"/>
            <charset val="0"/>
          </rPr>
          <t>Jennings, Avalon:</t>
        </r>
        <r>
          <rPr>
            <sz val="9"/>
            <color indexed="81"/>
            <rFont val="Tahoma"/>
            <family val="2"/>
            <charset val="0"/>
          </rPr>
          <t xml:space="preserve">
PPI Officer for trust is Caroline Barker - liaise with Caroline for any PPI questions</t>
        </r>
      </text>
    </comment>
  </commentList>
</comments>
</file>

<file path=xl/comments5.xml><?xml version="1.0" encoding="utf-8"?>
<comments xmlns="http://schemas.openxmlformats.org/spreadsheetml/2006/main">
  <authors>
    <author>mucked</author>
  </authors>
  <commentList>
    <comment ref="D23" authorId="0">
      <text>
        <r>
          <t/>
        </r>
        <r>
          <rPr>
            <b/>
            <sz val="8"/>
            <color indexed="81"/>
            <rFont val="Tahoma"/>
            <family val="2"/>
            <charset val="0"/>
          </rPr>
          <t>mucked:</t>
        </r>
        <r>
          <rPr>
            <sz val="8"/>
            <color indexed="81"/>
            <rFont val="Tahoma"/>
            <family val="2"/>
            <charset val="0"/>
          </rPr>
          <t xml:space="preserve">
Basic
</t>
        </r>
      </text>
    </comment>
    <comment ref="C29" authorId="0">
      <text>
        <r>
          <t/>
        </r>
        <r>
          <rPr>
            <b/>
            <sz val="8"/>
            <color indexed="81"/>
            <rFont val="Tahoma"/>
            <family val="2"/>
            <charset val="0"/>
          </rPr>
          <t>mucked:</t>
        </r>
        <r>
          <rPr>
            <sz val="8"/>
            <color indexed="81"/>
            <rFont val="Tahoma"/>
            <family val="2"/>
            <charset val="0"/>
          </rPr>
          <t xml:space="preserve">
Spirometry £45.00 + Transfer Factor £106.00</t>
        </r>
      </text>
    </comment>
  </commentList>
</comments>
</file>

<file path=xl/sharedStrings.xml><?xml version="1.0" encoding="utf-8"?>
<sst xmlns="http://schemas.openxmlformats.org/spreadsheetml/2006/main" uniqueCount="2492" count="4137">
  <si>
    <t>Procedures</t>
  </si>
  <si>
    <t>Clinical Time</t>
  </si>
  <si>
    <t>Calculated payment based on time and costs</t>
  </si>
  <si>
    <t>Subtotal</t>
  </si>
  <si>
    <t>TOTAL Staff Price</t>
  </si>
  <si>
    <t>Overhead (28.7%)</t>
  </si>
  <si>
    <t>Rate per hour</t>
  </si>
  <si>
    <t>Rate per minute:</t>
  </si>
  <si>
    <t>Admin</t>
  </si>
  <si>
    <t>Nurse Time</t>
  </si>
  <si>
    <t>Study title</t>
  </si>
  <si>
    <t>Sponsor</t>
  </si>
  <si>
    <t xml:space="preserve">Staff </t>
  </si>
  <si>
    <t>Rate per minute: Including R&amp;D overheads (28.7%)</t>
  </si>
  <si>
    <t>Rate per hour: Including R&amp;D overheads (28.7%)</t>
  </si>
  <si>
    <t>Visit 3</t>
  </si>
  <si>
    <t>Visit 4</t>
  </si>
  <si>
    <t>Visit 6</t>
  </si>
  <si>
    <t>Visit 7</t>
  </si>
  <si>
    <t>Visit 1- Screening</t>
  </si>
  <si>
    <t>Investigation</t>
  </si>
  <si>
    <t>Price of investigation</t>
  </si>
  <si>
    <t>Study Investigations</t>
  </si>
  <si>
    <t>Study Research Procedures and Related Activities:</t>
  </si>
  <si>
    <t>Task</t>
  </si>
  <si>
    <t>Price</t>
  </si>
  <si>
    <t>Set-up, management and close-down costs</t>
  </si>
  <si>
    <t>Total number of visits per patient</t>
  </si>
  <si>
    <t>Total number of patients</t>
  </si>
  <si>
    <t>Study Activity</t>
  </si>
  <si>
    <t>Project Manager</t>
  </si>
  <si>
    <t>Additional costs</t>
  </si>
  <si>
    <t>TOTAL Nurse Time per visit</t>
  </si>
  <si>
    <t xml:space="preserve">Pharmacy </t>
  </si>
  <si>
    <t/>
  </si>
  <si>
    <t>Per patient screening only</t>
  </si>
  <si>
    <t>Additional Study Activities</t>
  </si>
  <si>
    <t>Study Set-up</t>
  </si>
  <si>
    <t xml:space="preserve">Additional Costs </t>
  </si>
  <si>
    <t>Visit 8</t>
  </si>
  <si>
    <t>Key Staff</t>
  </si>
  <si>
    <t>PI</t>
  </si>
  <si>
    <t>Research Fellow</t>
  </si>
  <si>
    <t>Lead Nurse</t>
  </si>
  <si>
    <t>Admin Staff</t>
  </si>
  <si>
    <t>screening only</t>
  </si>
  <si>
    <t>TOTAL Admin Time per visit</t>
  </si>
  <si>
    <t xml:space="preserve">Total nurse cost per visit </t>
  </si>
  <si>
    <t xml:space="preserve">Total admin cost per visit </t>
  </si>
  <si>
    <t>Investigations price per visit</t>
  </si>
  <si>
    <t>Total</t>
  </si>
  <si>
    <t>Pharmacy Costs</t>
  </si>
  <si>
    <t>TOTAL Per Patient - Staff time, Lab investigations</t>
  </si>
  <si>
    <t>TOTAL price (staff+investigations) per visit including Overheads</t>
  </si>
  <si>
    <t>Number of Visits</t>
  </si>
  <si>
    <t>Numberof Patients</t>
  </si>
  <si>
    <t>Visit 2</t>
  </si>
  <si>
    <t>Visit 5</t>
  </si>
  <si>
    <t>Visit 1 - Screening</t>
  </si>
  <si>
    <t>Study Cost Centre</t>
  </si>
  <si>
    <t>SUBTOTAL - Visit costs  (Staff time, Lab investigations)</t>
  </si>
  <si>
    <t>Visit 9</t>
  </si>
  <si>
    <t>Total study Cost</t>
  </si>
  <si>
    <t>Difference</t>
  </si>
  <si>
    <t>Total Study income (Minus Value)</t>
  </si>
  <si>
    <t>Staff Time (WTE)</t>
  </si>
  <si>
    <t>Nursing Time</t>
  </si>
  <si>
    <t>Project manager (Co-ordinator) Time</t>
  </si>
  <si>
    <t>Data Sheet Costs</t>
  </si>
  <si>
    <t xml:space="preserve">Figures only to be altered after agreement with Finance - </t>
  </si>
  <si>
    <t>Updated per 2013/2014 payscales</t>
  </si>
  <si>
    <t>If costs added - extend formulas on costing sheets - columns F &amp; M</t>
  </si>
  <si>
    <t xml:space="preserve">NI </t>
  </si>
  <si>
    <t>TO 40K</t>
  </si>
  <si>
    <t>Over 40k</t>
  </si>
  <si>
    <t>Per Hour/Per Item</t>
  </si>
  <si>
    <t>HRG4/UKCLRN</t>
  </si>
  <si>
    <t>Super Ann</t>
  </si>
  <si>
    <t>None</t>
  </si>
  <si>
    <t>Top Point</t>
  </si>
  <si>
    <t>NI &amp; Pens</t>
  </si>
  <si>
    <t>Staff</t>
  </si>
  <si>
    <t>Band 1</t>
  </si>
  <si>
    <t>Band 2 (eg MTO)</t>
  </si>
  <si>
    <t>Band 3 (eg Clerical)</t>
  </si>
  <si>
    <t>Band 4 (eg dental nurse, MLSO)</t>
  </si>
  <si>
    <t>Band 5 (eg AHPs)</t>
  </si>
  <si>
    <t>Band 6 (eg Staff Nurse/Midwife)</t>
  </si>
  <si>
    <t>Band 7 (eg Senior Nurse)</t>
  </si>
  <si>
    <t>Band 8A (eg Senior Clinical Scientist)</t>
  </si>
  <si>
    <t>Band 8B (eg Nurse Consultant)</t>
  </si>
  <si>
    <t>Band 8C (eg Senior Manager)</t>
  </si>
  <si>
    <t>Band 8D (eg Director)</t>
  </si>
  <si>
    <t>Band 9 (eg Executive)</t>
  </si>
  <si>
    <t>C White - e mail 10.12.09</t>
  </si>
  <si>
    <t>Student</t>
  </si>
  <si>
    <t>Consultant</t>
  </si>
  <si>
    <t>Specialist Registrar</t>
  </si>
  <si>
    <t>SHO</t>
  </si>
  <si>
    <t>HO</t>
  </si>
  <si>
    <t>Associate Specialist</t>
  </si>
  <si>
    <t>Consumables</t>
  </si>
  <si>
    <t>Cost per Box</t>
  </si>
  <si>
    <t>Contents</t>
  </si>
  <si>
    <t>Pulmonary Function Tests</t>
  </si>
  <si>
    <t>Apron Polythene Unisex Disposable</t>
  </si>
  <si>
    <t>Mask face surgical fluidshield membrane</t>
  </si>
  <si>
    <t>Mask face surgical duckbill</t>
  </si>
  <si>
    <t>Airway oropharyngeal size 000 - lilac</t>
  </si>
  <si>
    <t>FDB207</t>
  </si>
  <si>
    <t>Airway oropharyngeal size 00 - blue</t>
  </si>
  <si>
    <t>FDB208</t>
  </si>
  <si>
    <t>Airway oropharyngeal size 0 - grey</t>
  </si>
  <si>
    <t>FDB209</t>
  </si>
  <si>
    <t>Airway oropharyngeal size 1 - white</t>
  </si>
  <si>
    <t>FDB212</t>
  </si>
  <si>
    <t>Airway oropharyngeal size 2 - green</t>
  </si>
  <si>
    <t>FDB213</t>
  </si>
  <si>
    <t>Airway oropharyngeal size 3 - orange</t>
  </si>
  <si>
    <t>FDB214</t>
  </si>
  <si>
    <t>Airway oropharyngeal size 4 - red</t>
  </si>
  <si>
    <t>FDB215</t>
  </si>
  <si>
    <t>nasal cannula - paediatric</t>
  </si>
  <si>
    <t>FDC037</t>
  </si>
  <si>
    <t>nasal cannula - adult</t>
  </si>
  <si>
    <t>FDC305</t>
  </si>
  <si>
    <t>facemask aerosol - paediatric</t>
  </si>
  <si>
    <t>FDD005</t>
  </si>
  <si>
    <t>facemask aerosol - adult with nebuliser connector</t>
  </si>
  <si>
    <t>FDD006</t>
  </si>
  <si>
    <t>facemask aerosol - adult non rebreathing</t>
  </si>
  <si>
    <t>FDD113</t>
  </si>
  <si>
    <t>facemask single use - paediatric</t>
  </si>
  <si>
    <t>FDD321</t>
  </si>
  <si>
    <t>facemask oxygen med conc - paediatric</t>
  </si>
  <si>
    <t>FDD651</t>
  </si>
  <si>
    <t>facemask oxygen med conc - adult</t>
  </si>
  <si>
    <t>FDD654</t>
  </si>
  <si>
    <t>catheter mount for suction catheteres</t>
  </si>
  <si>
    <t>FDE019</t>
  </si>
  <si>
    <t>Peak Flow Meter mouthpiece</t>
  </si>
  <si>
    <t>FDD167</t>
  </si>
  <si>
    <t>Peak Flow Meter mouthpiece single use - adult</t>
  </si>
  <si>
    <t>FDE023</t>
  </si>
  <si>
    <t>Tracheal Tube sterile/siliconised (var sizes)</t>
  </si>
  <si>
    <t>FDF0033-FDF036</t>
  </si>
  <si>
    <t>Tracheal Tube murphy eye sterile (var sizes)</t>
  </si>
  <si>
    <t>FDF579-FDF604</t>
  </si>
  <si>
    <t>Mucus extractor/collector 20ml without catheter</t>
  </si>
  <si>
    <t>FFH001</t>
  </si>
  <si>
    <t>Mucus extractor/collector with brochoscopy adaptor</t>
  </si>
  <si>
    <t>FTP053</t>
  </si>
  <si>
    <t>Tourniquet latex free blood collection</t>
  </si>
  <si>
    <t>FWJ016</t>
  </si>
  <si>
    <t>Blood collection set 21g &amp; 23g</t>
  </si>
  <si>
    <t>KFK056 &amp; KFK058</t>
  </si>
  <si>
    <t>Total equipment cost for single blood visit</t>
  </si>
  <si>
    <t xml:space="preserve">Total cost for vaccination equipment per vaccine </t>
  </si>
  <si>
    <t>Needles (pr Box)</t>
  </si>
  <si>
    <t>Blue Needles</t>
  </si>
  <si>
    <t>Green Needles</t>
  </si>
  <si>
    <t>Mepopore tape (60 rolls)</t>
  </si>
  <si>
    <t>Plasters (Pack 100)</t>
  </si>
  <si>
    <t>Spot plasters</t>
  </si>
  <si>
    <t>tagaderm dressings</t>
  </si>
  <si>
    <t>Sterets(pack 100)</t>
  </si>
  <si>
    <t>Syringes - 2ml  each</t>
  </si>
  <si>
    <t>Syringes - 5ml  (100)</t>
  </si>
  <si>
    <t>Syringes - 10ml  (100)</t>
  </si>
  <si>
    <t>Syringes - 20ml  (100)</t>
  </si>
  <si>
    <t>Venflons blue</t>
  </si>
  <si>
    <t>Venflons green</t>
  </si>
  <si>
    <t>cotton wool balls</t>
  </si>
  <si>
    <t>Instrument tray</t>
  </si>
  <si>
    <t>liquid handwash</t>
  </si>
  <si>
    <t>Cleaning wipes</t>
  </si>
  <si>
    <t>Blue butterflies</t>
  </si>
  <si>
    <t>Green butterflies</t>
  </si>
  <si>
    <t>Burrette giving set (box 20)</t>
  </si>
  <si>
    <t>blood bottle (Vacutainer)</t>
  </si>
  <si>
    <t>Blood giving set (box 60)</t>
  </si>
  <si>
    <t>Specimen giving sets (box 100)</t>
  </si>
  <si>
    <t>Suction tubing</t>
  </si>
  <si>
    <t>Oxygen tubing</t>
  </si>
  <si>
    <t>Bandages 5cm</t>
  </si>
  <si>
    <t>pair of gloves</t>
  </si>
  <si>
    <t>Gloves non sterile (box 100)</t>
  </si>
  <si>
    <t>Gloves sterile (box 50)</t>
  </si>
  <si>
    <t>Yellow rubbish bags</t>
  </si>
  <si>
    <t>Namebands - Child (pack 100)</t>
  </si>
  <si>
    <t>Namebands - Adult (pack 100)</t>
  </si>
  <si>
    <t>Oral Syringes - 5ml (box 100)</t>
  </si>
  <si>
    <t>Oral Syringes - 10ml (box 100)</t>
  </si>
  <si>
    <t>Plastic Aprons (roll 200)</t>
  </si>
  <si>
    <t>Tissues</t>
  </si>
  <si>
    <t>Stethescope</t>
  </si>
  <si>
    <t>Oxygen saturation probes (non disposable)</t>
  </si>
  <si>
    <t>Urine bottle - disposable (pack 200)</t>
  </si>
  <si>
    <t>Slipper pans -disposable (pack 200)</t>
  </si>
  <si>
    <t>Vomit bowls - disposable (pack 200)</t>
  </si>
  <si>
    <t>Sharps bin small</t>
  </si>
  <si>
    <t>Sharps bin 1 litre</t>
  </si>
  <si>
    <t>Ametop per tube</t>
  </si>
  <si>
    <t>Emla per tube</t>
  </si>
  <si>
    <t>Ethyl chloride spray per canister</t>
  </si>
  <si>
    <t>Dry ice per 10kg bag</t>
  </si>
  <si>
    <t>Adrenaline per ampule</t>
  </si>
  <si>
    <t>Swab nasopharygeal</t>
  </si>
  <si>
    <t>Swab oral</t>
  </si>
  <si>
    <t>Digital thermometer</t>
  </si>
  <si>
    <t>Thermometer dot matrix system single use</t>
  </si>
  <si>
    <t>Pregnancy testing kit</t>
  </si>
  <si>
    <t>Staff travel (est 10mile round trip)</t>
  </si>
  <si>
    <t>Staff travel (est 15mile round trip)</t>
  </si>
  <si>
    <t>Staff travel (est 20mile round trip)</t>
  </si>
  <si>
    <t>Staff travel (est 25mile round trip)</t>
  </si>
  <si>
    <t>Staff travel (est 30mile round trip)</t>
  </si>
  <si>
    <t>Staff travel (est 35mile round trip)</t>
  </si>
  <si>
    <t>Staff travel (est 40mile round trip)</t>
  </si>
  <si>
    <t>Staff travel (est 45mile round trip)</t>
  </si>
  <si>
    <t>Staff travel (est 50mile round trip)</t>
  </si>
  <si>
    <t>WTCRF Room Hire</t>
  </si>
  <si>
    <t>A4 white paper (500 sheets)</t>
  </si>
  <si>
    <t>C5 envelopes (pack 500)</t>
  </si>
  <si>
    <t>DL envelopes (pack 1000)</t>
  </si>
  <si>
    <t>Printer Cartridge - Laser</t>
  </si>
  <si>
    <t>Printer Cartridge - Inkjet</t>
  </si>
  <si>
    <t>First class stamp</t>
  </si>
  <si>
    <t>Equipment</t>
  </si>
  <si>
    <t>Desktop PC</t>
  </si>
  <si>
    <t>Laptop</t>
  </si>
  <si>
    <t>PDA</t>
  </si>
  <si>
    <t>Support Charge (per annum)</t>
  </si>
  <si>
    <t>Laser Printer</t>
  </si>
  <si>
    <t>Laser Printer - network</t>
  </si>
  <si>
    <t>Colour Inkjet</t>
  </si>
  <si>
    <t>Cardiology</t>
  </si>
  <si>
    <t>Audiometry</t>
  </si>
  <si>
    <t>Electrocardiograph</t>
  </si>
  <si>
    <t>DEXA</t>
  </si>
  <si>
    <t>RA15Z</t>
  </si>
  <si>
    <t>Echocardiography</t>
  </si>
  <si>
    <t>Clinical Biochemistry</t>
  </si>
  <si>
    <t>2010/2011 Tariff</t>
  </si>
  <si>
    <t>3 HYDROXYBUTERATE</t>
  </si>
  <si>
    <t>FULL Profile</t>
  </si>
  <si>
    <t>FULL</t>
  </si>
  <si>
    <t>17 OH PROGESTERONE - BLOOD SPOT</t>
  </si>
  <si>
    <t>RENAL PROFILE</t>
  </si>
  <si>
    <t>RE2</t>
  </si>
  <si>
    <t>17 OH PROGESTERONE - SERUM</t>
  </si>
  <si>
    <t>BONE PROFILE</t>
  </si>
  <si>
    <t>BON2</t>
  </si>
  <si>
    <t>17 OH PROGESTERONE - URINE</t>
  </si>
  <si>
    <t>LIVER PROFILE</t>
  </si>
  <si>
    <t>LFT2</t>
  </si>
  <si>
    <t>5 -HIAA</t>
  </si>
  <si>
    <t>TPN PROFILE</t>
  </si>
  <si>
    <t>TPN2</t>
  </si>
  <si>
    <t>18 HYROXY CORTISOL</t>
  </si>
  <si>
    <t>AFP</t>
  </si>
  <si>
    <t>AFPT</t>
  </si>
  <si>
    <t>18 HYROXY CORTISOL (URINE)</t>
  </si>
  <si>
    <t>AMYLASE</t>
  </si>
  <si>
    <t>AMY2</t>
  </si>
  <si>
    <t>ACE</t>
  </si>
  <si>
    <t>AST</t>
  </si>
  <si>
    <t>ACTH</t>
  </si>
  <si>
    <t>BICARBONATE</t>
  </si>
  <si>
    <t>BIC</t>
  </si>
  <si>
    <t>AFP (CSF)</t>
  </si>
  <si>
    <t>BILIRUBIN - DIRECT</t>
  </si>
  <si>
    <t>DB2</t>
  </si>
  <si>
    <t>ALBUMIN (URINE)</t>
  </si>
  <si>
    <t>BILIRUBIN - NEONATAL</t>
  </si>
  <si>
    <t>PBIL</t>
  </si>
  <si>
    <t>ALDOSTERONE</t>
  </si>
  <si>
    <t>CARBAMAZEPINE</t>
  </si>
  <si>
    <t>CARB</t>
  </si>
  <si>
    <t>ALK PHOS ISOENZYMES</t>
  </si>
  <si>
    <t>CHLORIDE</t>
  </si>
  <si>
    <t>CL</t>
  </si>
  <si>
    <t>ALDOSTERONE/RENIN RATIO</t>
  </si>
  <si>
    <t>CHOLESTEROL</t>
  </si>
  <si>
    <t>CHOL</t>
  </si>
  <si>
    <t>ALPHA-1 ANTITRYPSIN</t>
  </si>
  <si>
    <t>CK</t>
  </si>
  <si>
    <t>ALPHA-1 AT PHENOTYPE</t>
  </si>
  <si>
    <t>C-REACTIVE PROTEIN</t>
  </si>
  <si>
    <t>CRPM</t>
  </si>
  <si>
    <t>AMMONIA</t>
  </si>
  <si>
    <t>DIGOXIN</t>
  </si>
  <si>
    <t>DIG</t>
  </si>
  <si>
    <t>AMINO ACIDS (PLASMA)</t>
  </si>
  <si>
    <t>FERRITIN</t>
  </si>
  <si>
    <t>FER2</t>
  </si>
  <si>
    <t>AMINO ACIDS (URINE)</t>
  </si>
  <si>
    <t>FOLATE (PLASMA)</t>
  </si>
  <si>
    <t>FOL2</t>
  </si>
  <si>
    <t>AMIODARONE</t>
  </si>
  <si>
    <t>FREE T3</t>
  </si>
  <si>
    <t>2FT3</t>
  </si>
  <si>
    <t>AMYLASE (FLUID)</t>
  </si>
  <si>
    <t>FREE T4</t>
  </si>
  <si>
    <t>2FT4</t>
  </si>
  <si>
    <t>ANDROSTENEDIONE (BLOOD SPOT)</t>
  </si>
  <si>
    <t>FSH</t>
  </si>
  <si>
    <t>FSH2</t>
  </si>
  <si>
    <t>ANDROSTENEDIONE (PLASMA)</t>
  </si>
  <si>
    <t>GAMMA GT</t>
  </si>
  <si>
    <t>GGT</t>
  </si>
  <si>
    <t>BETA CAROTENE</t>
  </si>
  <si>
    <t>GLUCOSE</t>
  </si>
  <si>
    <t>GLU</t>
  </si>
  <si>
    <t>BILE ACIDS</t>
  </si>
  <si>
    <t xml:space="preserve">hCG </t>
  </si>
  <si>
    <t>HCG</t>
  </si>
  <si>
    <t>BILIRUBIN (URINE)</t>
  </si>
  <si>
    <t>HDL CHOLESTEROL</t>
  </si>
  <si>
    <t>HDL</t>
  </si>
  <si>
    <t>BUPRENORPHINE</t>
  </si>
  <si>
    <t>IRON</t>
  </si>
  <si>
    <t>FE2</t>
  </si>
  <si>
    <t>C-PEPTIDE</t>
  </si>
  <si>
    <t>CA 125</t>
  </si>
  <si>
    <t>CA15-3</t>
  </si>
  <si>
    <t>LDH</t>
  </si>
  <si>
    <t>LD2</t>
  </si>
  <si>
    <t>CA19-9</t>
  </si>
  <si>
    <t>LH</t>
  </si>
  <si>
    <t>LH2</t>
  </si>
  <si>
    <t>CAERULOPLASMIN</t>
  </si>
  <si>
    <t>MAGNESIUM</t>
  </si>
  <si>
    <t>MG</t>
  </si>
  <si>
    <t>CALCITONIN</t>
  </si>
  <si>
    <t>OESTRADIOL</t>
  </si>
  <si>
    <t>E2B2</t>
  </si>
  <si>
    <t>CALCIUM (URINE)</t>
  </si>
  <si>
    <t>PARACETAMOL</t>
  </si>
  <si>
    <t>PCT2</t>
  </si>
  <si>
    <t>CARBOXYHAEMOGLOBIN</t>
  </si>
  <si>
    <t>PHENOBARBITONE</t>
  </si>
  <si>
    <t>PBAR</t>
  </si>
  <si>
    <t>CEA</t>
  </si>
  <si>
    <t>PHENYTOIN</t>
  </si>
  <si>
    <t>PTN</t>
  </si>
  <si>
    <t>CHOLINESTERASE - PHENOTYPE</t>
  </si>
  <si>
    <t>PHOSPHATE</t>
  </si>
  <si>
    <t>IP</t>
  </si>
  <si>
    <t>CHOLINESTERASE SCREEN</t>
  </si>
  <si>
    <t>PROGESTERONE</t>
  </si>
  <si>
    <t>PRG2</t>
  </si>
  <si>
    <t>CHOLINESTERASE RED CELL</t>
  </si>
  <si>
    <t>PROLACTIN</t>
  </si>
  <si>
    <t>2PRL</t>
  </si>
  <si>
    <t>CITRATE (URINE)</t>
  </si>
  <si>
    <t>PSA</t>
  </si>
  <si>
    <t>CK-MB</t>
  </si>
  <si>
    <t>SALICYLATE</t>
  </si>
  <si>
    <t>SAL2</t>
  </si>
  <si>
    <t>CORTISOL (BLOOD SPOT)</t>
  </si>
  <si>
    <t>THEOPHYLLINE</t>
  </si>
  <si>
    <t>THEO</t>
  </si>
  <si>
    <t>CORTISOL (PLASMA)</t>
  </si>
  <si>
    <t>TRANSFERRIN</t>
  </si>
  <si>
    <t>TFN2</t>
  </si>
  <si>
    <t>CORTISOL (SALIVA)</t>
  </si>
  <si>
    <t>TRIGLYCERIDES</t>
  </si>
  <si>
    <t>TRIG</t>
  </si>
  <si>
    <t>CORTISOL (URINE)</t>
  </si>
  <si>
    <t>TROPONIN - I</t>
  </si>
  <si>
    <t>TRO2</t>
  </si>
  <si>
    <t>TSH</t>
  </si>
  <si>
    <t>TSH2</t>
  </si>
  <si>
    <t>CORTISONE (PLASMA)</t>
  </si>
  <si>
    <t>URATE</t>
  </si>
  <si>
    <t>UA2</t>
  </si>
  <si>
    <t>CORTISONE (URINE)</t>
  </si>
  <si>
    <t>VALPROATE</t>
  </si>
  <si>
    <t>VALP</t>
  </si>
  <si>
    <t>COTININE (URINE)</t>
  </si>
  <si>
    <t>VITAMIN B 12</t>
  </si>
  <si>
    <t>VIB2</t>
  </si>
  <si>
    <t>COTININE (PLASMA)</t>
  </si>
  <si>
    <t>11 DEOXY CORTISOL</t>
  </si>
  <si>
    <t>11DC</t>
  </si>
  <si>
    <t>CREATININE CLEARANCE</t>
  </si>
  <si>
    <t>3OHB</t>
  </si>
  <si>
    <t>CREATININE URINE</t>
  </si>
  <si>
    <t>B17P</t>
  </si>
  <si>
    <t>CREATININE FLUID</t>
  </si>
  <si>
    <t>OHP</t>
  </si>
  <si>
    <t>CICLOSPORIN</t>
  </si>
  <si>
    <t>UOHP</t>
  </si>
  <si>
    <t>CYSTINE</t>
  </si>
  <si>
    <t>HIAA</t>
  </si>
  <si>
    <t xml:space="preserve">DEOXYPYRIDINOLINE (DPD) </t>
  </si>
  <si>
    <t>18HC</t>
  </si>
  <si>
    <t>18U</t>
  </si>
  <si>
    <t>DHEA-SULPHATE</t>
  </si>
  <si>
    <t>ACE1</t>
  </si>
  <si>
    <t>DRUG SCREEN</t>
  </si>
  <si>
    <t>ACH</t>
  </si>
  <si>
    <t>ETHANOL</t>
  </si>
  <si>
    <t>LAFP</t>
  </si>
  <si>
    <t>FAECAL ELASTASE</t>
  </si>
  <si>
    <t>UACR</t>
  </si>
  <si>
    <t>FAECAL FAT</t>
  </si>
  <si>
    <t>ALD2</t>
  </si>
  <si>
    <t>FAECAL REDUCING SUBSTANCES</t>
  </si>
  <si>
    <t>API</t>
  </si>
  <si>
    <t>REDUCING SUBSTANCES (URINE)</t>
  </si>
  <si>
    <t>A1A</t>
  </si>
  <si>
    <t>FREE FATTY ACIDS (PLASMA)</t>
  </si>
  <si>
    <t>A1PH</t>
  </si>
  <si>
    <t>GASES (BLOOD)</t>
  </si>
  <si>
    <t>AMN</t>
  </si>
  <si>
    <t>SAMPLE HANDLING CHARGE</t>
  </si>
  <si>
    <t>PAMA</t>
  </si>
  <si>
    <t>GENTAMICIN</t>
  </si>
  <si>
    <t>UAMA</t>
  </si>
  <si>
    <t>GLUCOSE(CSF)</t>
  </si>
  <si>
    <t>AMIO</t>
  </si>
  <si>
    <t>GLUCOSE (FLUID)</t>
  </si>
  <si>
    <t>FAML</t>
  </si>
  <si>
    <t>GLYCINE(CSF)</t>
  </si>
  <si>
    <t>BAD</t>
  </si>
  <si>
    <t>GROWTH HORMONE (SERUM)</t>
  </si>
  <si>
    <t>AD</t>
  </si>
  <si>
    <t>BETC</t>
  </si>
  <si>
    <t>GUT PERMEABILITY</t>
  </si>
  <si>
    <t>BILA</t>
  </si>
  <si>
    <t>HAEM PIGMENTS (CSF)</t>
  </si>
  <si>
    <t>UBIX</t>
  </si>
  <si>
    <t>HBA1c</t>
  </si>
  <si>
    <t>UBUP</t>
  </si>
  <si>
    <t>HCG (CSF)</t>
  </si>
  <si>
    <t>CPE2</t>
  </si>
  <si>
    <t>HOMOCYSTINE</t>
  </si>
  <si>
    <t>12CA</t>
  </si>
  <si>
    <t>HYALURONIC ACID</t>
  </si>
  <si>
    <t>CA15</t>
  </si>
  <si>
    <t>HYDROXYBUTYRATE</t>
  </si>
  <si>
    <t>19CA</t>
  </si>
  <si>
    <t>HYDROXYPROLINE</t>
  </si>
  <si>
    <t>2CEA</t>
  </si>
  <si>
    <t>INSULIN</t>
  </si>
  <si>
    <t>CLN1</t>
  </si>
  <si>
    <t>LACTATE (VENOUS PLASMA)</t>
  </si>
  <si>
    <t>CA24</t>
  </si>
  <si>
    <t>LDH (FLUID)</t>
  </si>
  <si>
    <t>COHB</t>
  </si>
  <si>
    <t>CEAI</t>
  </si>
  <si>
    <t>PCHE</t>
  </si>
  <si>
    <t>MEC1</t>
  </si>
  <si>
    <t>APO- LIPOPROTEIN A-1</t>
  </si>
  <si>
    <t>RCCE</t>
  </si>
  <si>
    <t>APO- LIPOPROTEIN B</t>
  </si>
  <si>
    <t>CIPS</t>
  </si>
  <si>
    <t>LIPOPROTEIN (a)</t>
  </si>
  <si>
    <t>CLOZAPINE</t>
  </si>
  <si>
    <t>CLOZ</t>
  </si>
  <si>
    <t>LITHIUM</t>
  </si>
  <si>
    <t>CKMB</t>
  </si>
  <si>
    <t>MAGNESIUM (RED CELL)</t>
  </si>
  <si>
    <t>BCOR</t>
  </si>
  <si>
    <t>MAGNESIUM (URINE)</t>
  </si>
  <si>
    <t>CORT</t>
  </si>
  <si>
    <t>METHAEMALBUMIN</t>
  </si>
  <si>
    <t>SCOR</t>
  </si>
  <si>
    <t>METHAEMOGLOBIN</t>
  </si>
  <si>
    <t>UCOR</t>
  </si>
  <si>
    <t>METHOTREXATE</t>
  </si>
  <si>
    <t>PCOS</t>
  </si>
  <si>
    <t>MICROSCOPY (FAECAL)</t>
  </si>
  <si>
    <t>MUCOPOLYSACCHARIDE SCREEN</t>
  </si>
  <si>
    <t>UCOT</t>
  </si>
  <si>
    <t>MYOGLOBIN (SERUM)</t>
  </si>
  <si>
    <t>COT</t>
  </si>
  <si>
    <t>MYOGLOBIN (URINE)</t>
  </si>
  <si>
    <t>CRCL</t>
  </si>
  <si>
    <t>NEUROBLASTOMA SCREEN</t>
  </si>
  <si>
    <t>UCR</t>
  </si>
  <si>
    <t>OCCULT BLOOD</t>
  </si>
  <si>
    <t>FCR</t>
  </si>
  <si>
    <t>OUT OF HOURS (EMERGENCY)</t>
  </si>
  <si>
    <t>CYC1</t>
  </si>
  <si>
    <t>ORGANIC ACIDS (URINE)</t>
  </si>
  <si>
    <t>UCYS</t>
  </si>
  <si>
    <t xml:space="preserve">AMINO ACIDS (URINE)/ORGANIC ACIDS (URINE)/ </t>
  </si>
  <si>
    <t>DXPD</t>
  </si>
  <si>
    <t>OROTIC ACID</t>
  </si>
  <si>
    <t>DHAS</t>
  </si>
  <si>
    <t>OSMOLALITY - URINE</t>
  </si>
  <si>
    <t>UTDS</t>
  </si>
  <si>
    <t>OSMOLALITY - PLASMA</t>
  </si>
  <si>
    <t>ETH</t>
  </si>
  <si>
    <t>OXALATE (TIMED URINE)</t>
  </si>
  <si>
    <t>FELS</t>
  </si>
  <si>
    <t>PARAQUAT</t>
  </si>
  <si>
    <t>FF24</t>
  </si>
  <si>
    <t>OXALATE (RANDOM URINE)</t>
  </si>
  <si>
    <t>FRED</t>
  </si>
  <si>
    <t>PHAEOCHROMOCYTOMA SCREEN</t>
  </si>
  <si>
    <t>FFA</t>
  </si>
  <si>
    <t>PENTOBARBITONE</t>
  </si>
  <si>
    <t>AGAS</t>
  </si>
  <si>
    <t>PHENYLALANINE</t>
  </si>
  <si>
    <t>GASTRIN</t>
  </si>
  <si>
    <t>GST</t>
  </si>
  <si>
    <t>POST</t>
  </si>
  <si>
    <t>PHOSPHATE (URINE)</t>
  </si>
  <si>
    <t>LGLU</t>
  </si>
  <si>
    <t>PORPHOBILINOGEN</t>
  </si>
  <si>
    <t>FGLU</t>
  </si>
  <si>
    <t>POTASSIUM (URINE)</t>
  </si>
  <si>
    <t>CGLY</t>
  </si>
  <si>
    <t>PREGNANCY TEST (URINE)</t>
  </si>
  <si>
    <t>GH</t>
  </si>
  <si>
    <t>P3NP</t>
  </si>
  <si>
    <t>PROTEIN CREATINE RATIO (URINE)</t>
  </si>
  <si>
    <t>HPG</t>
  </si>
  <si>
    <t>PROTEIN (URINE)</t>
  </si>
  <si>
    <t>A1C</t>
  </si>
  <si>
    <t>PROTEIN (CSF)</t>
  </si>
  <si>
    <t>HCTE</t>
  </si>
  <si>
    <t>PROTEIN (FLUID)</t>
  </si>
  <si>
    <t>HA</t>
  </si>
  <si>
    <t>PTH</t>
  </si>
  <si>
    <t>OHB</t>
  </si>
  <si>
    <t>RENIN</t>
  </si>
  <si>
    <t>UHP</t>
  </si>
  <si>
    <t>SHBG</t>
  </si>
  <si>
    <t>INS</t>
  </si>
  <si>
    <t>SIROLIMUS</t>
  </si>
  <si>
    <t>LACT</t>
  </si>
  <si>
    <t>SODIUM (URINE)</t>
  </si>
  <si>
    <t>FLDH</t>
  </si>
  <si>
    <t xml:space="preserve">IGF-1 SOMATOMEDIN C </t>
  </si>
  <si>
    <t>STONE ANALYSIS - FTIR</t>
  </si>
  <si>
    <t>SUGAR CHROMATOGRAPHY FAECAL</t>
  </si>
  <si>
    <t>SUGAR CHROMATOGRAPHY URINE</t>
  </si>
  <si>
    <t>SWEAT TEST</t>
  </si>
  <si>
    <t>TESTOSTERONE</t>
  </si>
  <si>
    <t>THYROGLOBULIN</t>
  </si>
  <si>
    <t>LI</t>
  </si>
  <si>
    <t>THYROGLOBULIN ANTIBODIES</t>
  </si>
  <si>
    <t>RCMG</t>
  </si>
  <si>
    <t xml:space="preserve">THYROGLOBULIN TITRE </t>
  </si>
  <si>
    <t>UMG</t>
  </si>
  <si>
    <t>TOBRAMYCIN</t>
  </si>
  <si>
    <t>MTHA</t>
  </si>
  <si>
    <t>TPMT</t>
  </si>
  <si>
    <t>MTHB</t>
  </si>
  <si>
    <t>TREX</t>
  </si>
  <si>
    <t>URINE  ANALYSIS</t>
  </si>
  <si>
    <t>FM</t>
  </si>
  <si>
    <t>UREA (URINE)</t>
  </si>
  <si>
    <t>EMUC</t>
  </si>
  <si>
    <t>URATE (URINE)</t>
  </si>
  <si>
    <t>MYO</t>
  </si>
  <si>
    <t>UROBILINOGEN</t>
  </si>
  <si>
    <t>UYMO</t>
  </si>
  <si>
    <t>UROPORPHYRIN</t>
  </si>
  <si>
    <t>NEUR</t>
  </si>
  <si>
    <t>VANCOMYCIN</t>
  </si>
  <si>
    <t>FHB</t>
  </si>
  <si>
    <t>VITAMIN A (PLASMA)</t>
  </si>
  <si>
    <t>OUT OF HOURS WORK</t>
  </si>
  <si>
    <t>OOH</t>
  </si>
  <si>
    <t>VITAMIN A &amp; E (PLASMA)</t>
  </si>
  <si>
    <t>UORG</t>
  </si>
  <si>
    <t>VITAMIN C</t>
  </si>
  <si>
    <t>UAO</t>
  </si>
  <si>
    <t>VITAMIN D (25OHCC)</t>
  </si>
  <si>
    <t>UORT</t>
  </si>
  <si>
    <t>TACROLIMUS</t>
  </si>
  <si>
    <t>UOSM</t>
  </si>
  <si>
    <t>OSM</t>
  </si>
  <si>
    <t>VITAMIN E (PLASMA)</t>
  </si>
  <si>
    <t>OX24</t>
  </si>
  <si>
    <t>VITAMINS A E &amp; D IGF1</t>
  </si>
  <si>
    <t>PQT</t>
  </si>
  <si>
    <t>DOXEPIN</t>
  </si>
  <si>
    <t>OXC</t>
  </si>
  <si>
    <t>CYSTINE / CREATININE</t>
  </si>
  <si>
    <t>METS</t>
  </si>
  <si>
    <t>TSH RECEPTOR ANTIBODIES</t>
  </si>
  <si>
    <t>PHE</t>
  </si>
  <si>
    <t>UPO</t>
  </si>
  <si>
    <t>UPG</t>
  </si>
  <si>
    <t>PORPHYRIN (BLOOD)</t>
  </si>
  <si>
    <t>BPOR</t>
  </si>
  <si>
    <t>PORPHYRIN (FAECAL)</t>
  </si>
  <si>
    <t>FPOR</t>
  </si>
  <si>
    <t>PORPHYRIN (URINE)</t>
  </si>
  <si>
    <t>UK</t>
  </si>
  <si>
    <t>UHCG</t>
  </si>
  <si>
    <t>PCRU</t>
  </si>
  <si>
    <t>UPRT</t>
  </si>
  <si>
    <t>LTP</t>
  </si>
  <si>
    <t>FTP</t>
  </si>
  <si>
    <t>PTH1</t>
  </si>
  <si>
    <t>EN01</t>
  </si>
  <si>
    <t>SIRO</t>
  </si>
  <si>
    <t>UNA</t>
  </si>
  <si>
    <t>SOMATOMEDIN C  IGF-1</t>
  </si>
  <si>
    <t>1IGF</t>
  </si>
  <si>
    <t>STONE ANALYSIS</t>
  </si>
  <si>
    <t>STO2</t>
  </si>
  <si>
    <t>SUGF</t>
  </si>
  <si>
    <t>SUGU</t>
  </si>
  <si>
    <t>LASW</t>
  </si>
  <si>
    <t>TAC7</t>
  </si>
  <si>
    <t>TES2</t>
  </si>
  <si>
    <t>TGS2</t>
  </si>
  <si>
    <t>TGT1</t>
  </si>
  <si>
    <t>URAN</t>
  </si>
  <si>
    <t>UUR</t>
  </si>
  <si>
    <t>UUA</t>
  </si>
  <si>
    <t>UUBX</t>
  </si>
  <si>
    <t>UUP</t>
  </si>
  <si>
    <t>VA1</t>
  </si>
  <si>
    <t>VITS</t>
  </si>
  <si>
    <t>TOVD</t>
  </si>
  <si>
    <t>VITAMIN D (1-25 OH2 CC)</t>
  </si>
  <si>
    <t>2OHD</t>
  </si>
  <si>
    <t>VE1</t>
  </si>
  <si>
    <t>DOX</t>
  </si>
  <si>
    <t>CSCR</t>
  </si>
  <si>
    <t>TSHA</t>
  </si>
  <si>
    <t>ALUMINIUM (OTHER)</t>
  </si>
  <si>
    <t>ZAL</t>
  </si>
  <si>
    <t>ALUMINIUM (PLASMA)</t>
  </si>
  <si>
    <t>PAL</t>
  </si>
  <si>
    <t>ALUMINIUM (URINE)</t>
  </si>
  <si>
    <t>UAL</t>
  </si>
  <si>
    <t>ANTIMONY (BLOOD)</t>
  </si>
  <si>
    <t>BSB</t>
  </si>
  <si>
    <t>ANTIMONY (not reported)</t>
  </si>
  <si>
    <t>UANT</t>
  </si>
  <si>
    <t>Trace Elements</t>
  </si>
  <si>
    <t>ANTIMONY (OTHER)</t>
  </si>
  <si>
    <t>ZSB</t>
  </si>
  <si>
    <t>ANTIMONY (PLASMA)</t>
  </si>
  <si>
    <t>ANTIMONY (URINE)</t>
  </si>
  <si>
    <t>ARSENIC (BLOOD)</t>
  </si>
  <si>
    <t>ARSENIC (OTHER)</t>
  </si>
  <si>
    <t>ARSENIC (URINE)</t>
  </si>
  <si>
    <t>BARIUM (OTHER)</t>
  </si>
  <si>
    <t>USB</t>
  </si>
  <si>
    <t>BARIUM (PLASMA)</t>
  </si>
  <si>
    <t>BAS</t>
  </si>
  <si>
    <t>BARIUM (URINE)</t>
  </si>
  <si>
    <t>ZAS</t>
  </si>
  <si>
    <t>BERYLLIUM (OTHER)</t>
  </si>
  <si>
    <t>UAS</t>
  </si>
  <si>
    <t>BERYLLIUM (PLASMA)</t>
  </si>
  <si>
    <t>ZBA</t>
  </si>
  <si>
    <t>BERYLLIUM (URINE)</t>
  </si>
  <si>
    <t>PBA</t>
  </si>
  <si>
    <t>BISMUTH (BLOOD)</t>
  </si>
  <si>
    <t>UBA</t>
  </si>
  <si>
    <t>BISMUTH (OTHER)</t>
  </si>
  <si>
    <t>ZBE</t>
  </si>
  <si>
    <t>BISMUTH (URINE)</t>
  </si>
  <si>
    <t>PBE</t>
  </si>
  <si>
    <t>BORON  (PLASMA)</t>
  </si>
  <si>
    <t>UBE</t>
  </si>
  <si>
    <t>BORON (URINE)</t>
  </si>
  <si>
    <t>BBI</t>
  </si>
  <si>
    <t>CADMIUM (BLOOD)</t>
  </si>
  <si>
    <t>ZBI</t>
  </si>
  <si>
    <t>CADMIUM (none reportable)</t>
  </si>
  <si>
    <t>UBI</t>
  </si>
  <si>
    <t>CADMIUM (OTHER)</t>
  </si>
  <si>
    <t>PBO</t>
  </si>
  <si>
    <t>CADMIUM (URINE)</t>
  </si>
  <si>
    <t>UB</t>
  </si>
  <si>
    <t>CHROMIUM (BLOOD)</t>
  </si>
  <si>
    <t>BCD</t>
  </si>
  <si>
    <t>CHROMIUM (non report)</t>
  </si>
  <si>
    <t>UCAD</t>
  </si>
  <si>
    <t>CHROMIUM (OTHER)</t>
  </si>
  <si>
    <t>ZCD</t>
  </si>
  <si>
    <t>CHROMIUM (PLASMA)</t>
  </si>
  <si>
    <t>UCD</t>
  </si>
  <si>
    <t>CHROMIUM (URINE)</t>
  </si>
  <si>
    <t>BCHR</t>
  </si>
  <si>
    <t>COBALT (BLOOD)</t>
  </si>
  <si>
    <t>UCRO</t>
  </si>
  <si>
    <t>COBALT (OTHER)</t>
  </si>
  <si>
    <t>ZCR</t>
  </si>
  <si>
    <t>COBALT (PLASMA)</t>
  </si>
  <si>
    <t>PCHR</t>
  </si>
  <si>
    <t>COBALT (URINE)</t>
  </si>
  <si>
    <t>UCHR</t>
  </si>
  <si>
    <t>COPPER</t>
  </si>
  <si>
    <t>COBALT</t>
  </si>
  <si>
    <t>BCO</t>
  </si>
  <si>
    <t>COPPER (24 HOUR URINE)</t>
  </si>
  <si>
    <t>ZCO</t>
  </si>
  <si>
    <t>COPPER (LIVER)</t>
  </si>
  <si>
    <t>PCO</t>
  </si>
  <si>
    <t>COPPER (OTHER)</t>
  </si>
  <si>
    <t>UCOB</t>
  </si>
  <si>
    <t>COPPER (PLASMA)</t>
  </si>
  <si>
    <t>WCOP</t>
  </si>
  <si>
    <t>COPPER (URINE)</t>
  </si>
  <si>
    <t>CU24</t>
  </si>
  <si>
    <t>GOLD (OTHER)</t>
  </si>
  <si>
    <t>LCU</t>
  </si>
  <si>
    <t>GOLD (PLASMA)</t>
  </si>
  <si>
    <t>ZCU</t>
  </si>
  <si>
    <t>GOLD (URINE)</t>
  </si>
  <si>
    <t>PCU</t>
  </si>
  <si>
    <t>IODINE</t>
  </si>
  <si>
    <t>UCU</t>
  </si>
  <si>
    <t>IODINE (PLASMA)</t>
  </si>
  <si>
    <t>ZAU</t>
  </si>
  <si>
    <t>IRON (LIVER)</t>
  </si>
  <si>
    <t>PAU</t>
  </si>
  <si>
    <t>IRON (OTHER)</t>
  </si>
  <si>
    <t>UAU</t>
  </si>
  <si>
    <t>IRON (URINE)</t>
  </si>
  <si>
    <t>UI</t>
  </si>
  <si>
    <t>LEAD (BLOOD)</t>
  </si>
  <si>
    <t>LEAD (non reportable)</t>
  </si>
  <si>
    <t>LFE</t>
  </si>
  <si>
    <t>LEAD (OTHER)</t>
  </si>
  <si>
    <t>ZFE</t>
  </si>
  <si>
    <t>LEAD (URINE)</t>
  </si>
  <si>
    <t>UFE</t>
  </si>
  <si>
    <t>MANGANESE (BLOOD)</t>
  </si>
  <si>
    <t>BPB</t>
  </si>
  <si>
    <t>MANGANESE (OTHER)</t>
  </si>
  <si>
    <t>ULED</t>
  </si>
  <si>
    <t>MANGANESE (URINE)</t>
  </si>
  <si>
    <t>ZPB</t>
  </si>
  <si>
    <t>MERCURY (BLOOD)</t>
  </si>
  <si>
    <t>UPB</t>
  </si>
  <si>
    <t>MERCURY (OTHER)</t>
  </si>
  <si>
    <t>BMN</t>
  </si>
  <si>
    <t>MERCURY (URINE)</t>
  </si>
  <si>
    <t>ZMN</t>
  </si>
  <si>
    <t>MOLYBDENUM (BLOOD)</t>
  </si>
  <si>
    <t>UMN</t>
  </si>
  <si>
    <t>MOLYBDENUM (OTHER)</t>
  </si>
  <si>
    <t>BHG</t>
  </si>
  <si>
    <t>MOLYBDENUM (PLASMA)</t>
  </si>
  <si>
    <t>ZHG</t>
  </si>
  <si>
    <t>MOLYBDENUM (URINE)</t>
  </si>
  <si>
    <t>UHG</t>
  </si>
  <si>
    <t>NICKEL (OTHER)</t>
  </si>
  <si>
    <t>MOLYBDENUM</t>
  </si>
  <si>
    <t>BMO</t>
  </si>
  <si>
    <t>NICKEL (PLASMA)</t>
  </si>
  <si>
    <t>ZMO</t>
  </si>
  <si>
    <t>NICKEL (URINE)</t>
  </si>
  <si>
    <t>PMO</t>
  </si>
  <si>
    <t>PLATINUM (BLOOD)</t>
  </si>
  <si>
    <t>UMO</t>
  </si>
  <si>
    <t>PLATINUM (OTHER)</t>
  </si>
  <si>
    <t>ZNI</t>
  </si>
  <si>
    <t>PLATINUM (URINE)</t>
  </si>
  <si>
    <t>PNI</t>
  </si>
  <si>
    <t>SELENIUM</t>
  </si>
  <si>
    <t>UNI</t>
  </si>
  <si>
    <t>SELENIUM  (PLASMA)</t>
  </si>
  <si>
    <t>BPT</t>
  </si>
  <si>
    <t>SELENIUM (OTHER)</t>
  </si>
  <si>
    <t>ZPT</t>
  </si>
  <si>
    <t>SELENIUM (URINE)</t>
  </si>
  <si>
    <t>UPT</t>
  </si>
  <si>
    <t>SILICON (OTHER)</t>
  </si>
  <si>
    <t>BSE</t>
  </si>
  <si>
    <t>SILICON (PLASMA)</t>
  </si>
  <si>
    <t>PSE</t>
  </si>
  <si>
    <t>SILICON (URINE)</t>
  </si>
  <si>
    <t>ZSE</t>
  </si>
  <si>
    <t xml:space="preserve">SILVER </t>
  </si>
  <si>
    <t>USE</t>
  </si>
  <si>
    <t>SILVER (BLOOD)</t>
  </si>
  <si>
    <t>ZSI</t>
  </si>
  <si>
    <t>SILVER (OTHER)</t>
  </si>
  <si>
    <t>PSI</t>
  </si>
  <si>
    <t>SILVER (URINE)</t>
  </si>
  <si>
    <t>USI</t>
  </si>
  <si>
    <t>STRONTIUM (OTHER)</t>
  </si>
  <si>
    <t>AG</t>
  </si>
  <si>
    <t>STRONTIUM (PLASMA)</t>
  </si>
  <si>
    <t>BAG</t>
  </si>
  <si>
    <t>STRONTIUM (URINE)</t>
  </si>
  <si>
    <t>ZAG</t>
  </si>
  <si>
    <t>TELLURIUM (BLOOD)</t>
  </si>
  <si>
    <t>UAG</t>
  </si>
  <si>
    <t>TELLURIUM (OTHER)</t>
  </si>
  <si>
    <t>ZSR</t>
  </si>
  <si>
    <t>TELLURIUM (PLASMA)</t>
  </si>
  <si>
    <t>PSR</t>
  </si>
  <si>
    <t>TELLURIUM (URINE)</t>
  </si>
  <si>
    <t>USR</t>
  </si>
  <si>
    <t>THALLIUM (BLOOD)</t>
  </si>
  <si>
    <t>BTE</t>
  </si>
  <si>
    <t>THALLIUM (URINE)</t>
  </si>
  <si>
    <t>ZTE</t>
  </si>
  <si>
    <t>TIN (BLOOD)</t>
  </si>
  <si>
    <t>PTE</t>
  </si>
  <si>
    <t>TIN (OTHER)</t>
  </si>
  <si>
    <t>UTE</t>
  </si>
  <si>
    <t>TIN (PLASMA)</t>
  </si>
  <si>
    <t>BTL</t>
  </si>
  <si>
    <t>TIN (URINE)</t>
  </si>
  <si>
    <t>UTL</t>
  </si>
  <si>
    <t>TITANIUM (OTHER)</t>
  </si>
  <si>
    <t>BSN</t>
  </si>
  <si>
    <t>TITANIUM (PLASMA)</t>
  </si>
  <si>
    <t>ZSN</t>
  </si>
  <si>
    <t>TITANIUM (URINE)</t>
  </si>
  <si>
    <t>PSN</t>
  </si>
  <si>
    <t>TUNGSTEN (PLASMA)</t>
  </si>
  <si>
    <t>USN</t>
  </si>
  <si>
    <t>TUNGSTEN (URINE)</t>
  </si>
  <si>
    <t>ZTI</t>
  </si>
  <si>
    <t>URANIUM (URINE not reported)</t>
  </si>
  <si>
    <t>PTI</t>
  </si>
  <si>
    <t>URANIUM (URINE)</t>
  </si>
  <si>
    <t>UTI</t>
  </si>
  <si>
    <t>VANADIUM (OTHER)</t>
  </si>
  <si>
    <t>INTRINSIC FACTOR ASSAY</t>
  </si>
  <si>
    <t>INTF</t>
  </si>
  <si>
    <t>VANADIUM (PLASMA)</t>
  </si>
  <si>
    <t>PW</t>
  </si>
  <si>
    <t>VANADIUM (URINE)</t>
  </si>
  <si>
    <t>UW</t>
  </si>
  <si>
    <t>ZINC (BLOOD)</t>
  </si>
  <si>
    <t>UURA</t>
  </si>
  <si>
    <t>ZINC (OTHER)</t>
  </si>
  <si>
    <t xml:space="preserve">UU </t>
  </si>
  <si>
    <t>ZINC (PLASMA)</t>
  </si>
  <si>
    <t>ZV</t>
  </si>
  <si>
    <t>ZINC (URINE)</t>
  </si>
  <si>
    <t>PVA</t>
  </si>
  <si>
    <t>COBALT &amp; CHROMIUM (BLOOD)</t>
  </si>
  <si>
    <t>UV</t>
  </si>
  <si>
    <t>COBALT &amp; CHROMIUM (PLASMA)</t>
  </si>
  <si>
    <t>BZN</t>
  </si>
  <si>
    <t>COPPER + ZINC (PLASMA)</t>
  </si>
  <si>
    <t>ZZN</t>
  </si>
  <si>
    <t>COPPER + ZINC + SELENIUM (PLASMA)</t>
  </si>
  <si>
    <t>PZN</t>
  </si>
  <si>
    <t>UZN</t>
  </si>
  <si>
    <t>TOXIC SCREEN (ALL METALS (BLOOD/URIINE)</t>
  </si>
  <si>
    <t>NS1</t>
  </si>
  <si>
    <t>NS2</t>
  </si>
  <si>
    <t>LEAD ISOTOPES RATIO (BLOOD/SOURCES OF LEAD)</t>
  </si>
  <si>
    <t>BFMS</t>
  </si>
  <si>
    <t>HAEMATOLOGY</t>
  </si>
  <si>
    <t>HAEMATOLOGY/COAGULATION</t>
  </si>
  <si>
    <t>FULL BLOOD COUNT</t>
  </si>
  <si>
    <t>FILM</t>
  </si>
  <si>
    <t>ACID ELUTION (EOSIN)</t>
  </si>
  <si>
    <t>AE</t>
  </si>
  <si>
    <t>ESR</t>
  </si>
  <si>
    <t>MALARIAL SCREEN</t>
  </si>
  <si>
    <t>IM SCREEN</t>
  </si>
  <si>
    <t>CLOTTING SCREEN</t>
  </si>
  <si>
    <t>ACTIVATED PARTIAL THROMBOPLASTIN TIME</t>
  </si>
  <si>
    <t>INR - INTERNATIONAL NORMALISED RATIO</t>
  </si>
  <si>
    <t>D-DIMER ASSAY</t>
  </si>
  <si>
    <t>HAEMOGLOBIN ELECTROPHORESIS (HPLC)</t>
  </si>
  <si>
    <t>ACID ELUTION (GEIMSA)</t>
  </si>
  <si>
    <t>ABSOLUTE RETICULOCYTES</t>
  </si>
  <si>
    <t>AGAR GEL ELECTROPHORESIS</t>
  </si>
  <si>
    <t>AGAR</t>
  </si>
  <si>
    <t>BONE MARROW PROCESSING</t>
  </si>
  <si>
    <t>BM1</t>
  </si>
  <si>
    <t>BONE MARROW TREPHINE PROCESSING</t>
  </si>
  <si>
    <t>BM2</t>
  </si>
  <si>
    <t>DOUBLE ESTERASE</t>
  </si>
  <si>
    <t>CYC</t>
  </si>
  <si>
    <t>ASCITIC FLUID WHITW COUNT</t>
  </si>
  <si>
    <t>CYTOSPIN</t>
  </si>
  <si>
    <t>CYT</t>
  </si>
  <si>
    <t>AUTOHAEMOLOGYSIS</t>
  </si>
  <si>
    <t>DIFFERENTIAL COUNT (MANUAL)</t>
  </si>
  <si>
    <t>DIF</t>
  </si>
  <si>
    <t>AUTOHAEMOLOGYSIS (GLUCOSE)</t>
  </si>
  <si>
    <t>F</t>
  </si>
  <si>
    <t>AUT</t>
  </si>
  <si>
    <t>CHEMILUMINESCENCE TEST (NBS)</t>
  </si>
  <si>
    <t>AUTG</t>
  </si>
  <si>
    <t>CITRATE KAOLIN TEG</t>
  </si>
  <si>
    <t>FBC</t>
  </si>
  <si>
    <t>FBC (RSH)</t>
  </si>
  <si>
    <t>FBCR</t>
  </si>
  <si>
    <t>D EPITOPES</t>
  </si>
  <si>
    <t>ASF</t>
  </si>
  <si>
    <t>CKT</t>
  </si>
  <si>
    <t>SUDAN BLACK STAIN</t>
  </si>
  <si>
    <t>DEPI</t>
  </si>
  <si>
    <t>G6PD ASSAY</t>
  </si>
  <si>
    <t>G6PD</t>
  </si>
  <si>
    <t>G6PD SCREEN</t>
  </si>
  <si>
    <t>GLOBULIN CHAIN ELECTROPHORESIS</t>
  </si>
  <si>
    <t>GCEP</t>
  </si>
  <si>
    <t>GENOTYPE</t>
  </si>
  <si>
    <t>GENO</t>
  </si>
  <si>
    <t>GLUTATHIONE ASSAY</t>
  </si>
  <si>
    <t>GLTH</t>
  </si>
  <si>
    <t>GPDS</t>
  </si>
  <si>
    <t>HAEMOGLOBIN A2 ASSAY</t>
  </si>
  <si>
    <t>HAMM'S TEST</t>
  </si>
  <si>
    <t>HAMS</t>
  </si>
  <si>
    <t>HAEMOGLOBIN C ASSAY</t>
  </si>
  <si>
    <t>HbA2</t>
  </si>
  <si>
    <t>HAEMOGLOBIN D ASSAY</t>
  </si>
  <si>
    <t>HbC</t>
  </si>
  <si>
    <t>HAEMOGLOBIN E ASSAY</t>
  </si>
  <si>
    <t>HbD</t>
  </si>
  <si>
    <t>HAEMOGLOBIN F ASSAY</t>
  </si>
  <si>
    <t>HbE</t>
  </si>
  <si>
    <t>HAEMOGLOBIN H BODIES</t>
  </si>
  <si>
    <t>HbF</t>
  </si>
  <si>
    <t>HAEMOGLOBIN S ASSAY</t>
  </si>
  <si>
    <t>HBOD</t>
  </si>
  <si>
    <t>HbS</t>
  </si>
  <si>
    <t>HEINZ BODIES</t>
  </si>
  <si>
    <t>URINARY HAEMOSIDERIN /IRON STAIN</t>
  </si>
  <si>
    <t>HSN</t>
  </si>
  <si>
    <t>MALARIAL KIT</t>
  </si>
  <si>
    <t>HZNB</t>
  </si>
  <si>
    <t>OSMOTIC FRAGILITY (FRESH)</t>
  </si>
  <si>
    <t>IM</t>
  </si>
  <si>
    <t>OSMOTIC FRAGILITY (INCUBATED)</t>
  </si>
  <si>
    <t>MA</t>
  </si>
  <si>
    <t>PLEURAL ASPIRATE</t>
  </si>
  <si>
    <t>MK</t>
  </si>
  <si>
    <t>PYRUVATE KINASE SCREEN</t>
  </si>
  <si>
    <t>OSM1</t>
  </si>
  <si>
    <t>RED CELL PORPHYRINS</t>
  </si>
  <si>
    <t>OSM2</t>
  </si>
  <si>
    <t>SHUMM'S TEST</t>
  </si>
  <si>
    <t>PA</t>
  </si>
  <si>
    <t>SICKLE SCREEN (confirm sickledex)</t>
  </si>
  <si>
    <t>PK</t>
  </si>
  <si>
    <t>SOLUBLE TRANSFERIN RECEPTOR</t>
  </si>
  <si>
    <t>RCPH</t>
  </si>
  <si>
    <t>MRET</t>
  </si>
  <si>
    <t>SCHU</t>
  </si>
  <si>
    <t>ANTITHROMBIN III ASSAY</t>
  </si>
  <si>
    <t>ST</t>
  </si>
  <si>
    <t>APTR (50:50 CORRECTION)</t>
  </si>
  <si>
    <t>STR</t>
  </si>
  <si>
    <t>BLEEDING TIME (IN VITRO)</t>
  </si>
  <si>
    <t>HEPARIN ANTI-Xa ASSAY</t>
  </si>
  <si>
    <t>ANXA</t>
  </si>
  <si>
    <t>BLEEDING TIME (IN VIVO)</t>
  </si>
  <si>
    <t>APTR</t>
  </si>
  <si>
    <t>FACTOR II ASSAY</t>
  </si>
  <si>
    <t>AT3</t>
  </si>
  <si>
    <t>FACTOR IX ASSAY</t>
  </si>
  <si>
    <t>BTA</t>
  </si>
  <si>
    <t>FACTOR IX INHIBITOR ASSAY (if this is inhib assay price is very wrong)</t>
  </si>
  <si>
    <t>BTP</t>
  </si>
  <si>
    <t>FACTOR V ASSAY</t>
  </si>
  <si>
    <t>CS</t>
  </si>
  <si>
    <t>FACTOR VII ASSAY</t>
  </si>
  <si>
    <t>DD</t>
  </si>
  <si>
    <t>FACTOR VIII ASSAY</t>
  </si>
  <si>
    <t>FIBRIN DEGRADATION PRODUCTS</t>
  </si>
  <si>
    <t>FACTOR VIII INHIBITOR (if this is inhib assay -price is very wrong)</t>
  </si>
  <si>
    <t>FACTOR X ASSAY</t>
  </si>
  <si>
    <t>F10</t>
  </si>
  <si>
    <t>FACTOR XI ASSAY</t>
  </si>
  <si>
    <t>F11</t>
  </si>
  <si>
    <t>FACTOR XII ASSAY</t>
  </si>
  <si>
    <t>F12</t>
  </si>
  <si>
    <t>FACTOR XIII ASSAY</t>
  </si>
  <si>
    <t>F13</t>
  </si>
  <si>
    <t>FACTOR XIII SCREEN</t>
  </si>
  <si>
    <t>F13S</t>
  </si>
  <si>
    <t>F2</t>
  </si>
  <si>
    <t>F5</t>
  </si>
  <si>
    <t>FIBRINOGEN (ANTIGEN)</t>
  </si>
  <si>
    <t>F7</t>
  </si>
  <si>
    <t>HEPARIN</t>
  </si>
  <si>
    <t>F8</t>
  </si>
  <si>
    <t>F8I</t>
  </si>
  <si>
    <t>INHIBITOR SCREEN</t>
  </si>
  <si>
    <t>F9</t>
  </si>
  <si>
    <t>INR (50:50 CORRECTION)</t>
  </si>
  <si>
    <t>F9I</t>
  </si>
  <si>
    <t>LUPUS-LIKE ANTOCOAGULANT</t>
  </si>
  <si>
    <t>FIBA</t>
  </si>
  <si>
    <t>PLASMINOGEN ASSAY</t>
  </si>
  <si>
    <t>HEP</t>
  </si>
  <si>
    <t>PLASMONOGEN ACTIVATOR INHIBITOR</t>
  </si>
  <si>
    <t>INHB</t>
  </si>
  <si>
    <t>PLATELET FUNCTION ANALYSIS (PFA100)</t>
  </si>
  <si>
    <t>INR</t>
  </si>
  <si>
    <t>PLATLET AGGREGATION &amp; RISTOCETIN INDUCED PLATLET AGGREGATION</t>
  </si>
  <si>
    <t>LA</t>
  </si>
  <si>
    <t>POST-OCCLUSION PLASMINOGEN ACTIVATOR ASSAY</t>
  </si>
  <si>
    <t>VWF MULTIMER BANDING (sent to Basingstoke)</t>
  </si>
  <si>
    <t>MULT</t>
  </si>
  <si>
    <t>PRE-OCCLUSION PLASMINOGEN ACTIVATOR ASSAY</t>
  </si>
  <si>
    <t>NPCA</t>
  </si>
  <si>
    <t>PROTEIN C ASSAY</t>
  </si>
  <si>
    <t>NPCI</t>
  </si>
  <si>
    <t>PROTEIN S (FREE ANTIGEN)</t>
  </si>
  <si>
    <t>PAGG</t>
  </si>
  <si>
    <t>RISTIOCETIN CO-FACTOR ASSAY</t>
  </si>
  <si>
    <t>PFA</t>
  </si>
  <si>
    <t>RUSSEL VIPER VENOM ASSAY (WAS KCT)</t>
  </si>
  <si>
    <t>PAI1</t>
  </si>
  <si>
    <t>THROMBIN TIME</t>
  </si>
  <si>
    <t>VWF ACTIVITY</t>
  </si>
  <si>
    <t>VWF ANTIGEN</t>
  </si>
  <si>
    <t>PCAC</t>
  </si>
  <si>
    <t>PLAC</t>
  </si>
  <si>
    <t>WARFARIN</t>
  </si>
  <si>
    <t>PSAC</t>
  </si>
  <si>
    <t>WARFARIN + HEPARIN</t>
  </si>
  <si>
    <t>RICF</t>
  </si>
  <si>
    <t>AUTOMATED GROUP &amp; SCREEN</t>
  </si>
  <si>
    <t>RUSSEL VIPER VENOM ASSAY</t>
  </si>
  <si>
    <t>RVVT</t>
  </si>
  <si>
    <t>BLOOD GROUP (AUTOMATED)</t>
  </si>
  <si>
    <t>TTR</t>
  </si>
  <si>
    <t>ANTIBODY SCREEN (AUTOMATED)</t>
  </si>
  <si>
    <t>VWAC</t>
  </si>
  <si>
    <t>ELECTRONIC CROSS MATCH</t>
  </si>
  <si>
    <t>WARF</t>
  </si>
  <si>
    <t>VWF1</t>
  </si>
  <si>
    <t>WH</t>
  </si>
  <si>
    <t>50:50 PLASMA NEUTRALISATION</t>
  </si>
  <si>
    <t>ACID ELUTION</t>
  </si>
  <si>
    <t>AET</t>
  </si>
  <si>
    <t>COLD AGGLUTININ SCREEN</t>
  </si>
  <si>
    <t>AGG</t>
  </si>
  <si>
    <t>AGP</t>
  </si>
  <si>
    <t>AGS</t>
  </si>
  <si>
    <t>HBEP</t>
  </si>
  <si>
    <t>T-ACTIVATED RED CELLS</t>
  </si>
  <si>
    <t>ANTIBODY REFERRAL</t>
  </si>
  <si>
    <t>AR</t>
  </si>
  <si>
    <t>AAS</t>
  </si>
  <si>
    <t>BIRMINGHAM IAG PANEL</t>
  </si>
  <si>
    <t>BCP</t>
  </si>
  <si>
    <t>BIRMINGHAM ENZYME PANEL</t>
  </si>
  <si>
    <t>BEP</t>
  </si>
  <si>
    <t>CAMBRIDGE IAG PANEL</t>
  </si>
  <si>
    <t>CCP</t>
  </si>
  <si>
    <t>CAMBRIDGE ENZYME PANEL</t>
  </si>
  <si>
    <t>CEP</t>
  </si>
  <si>
    <t>CROSS MATCH</t>
  </si>
  <si>
    <t>CM1</t>
  </si>
  <si>
    <t>CM2</t>
  </si>
  <si>
    <t>CM3</t>
  </si>
  <si>
    <t>CM4</t>
  </si>
  <si>
    <t>CM5</t>
  </si>
  <si>
    <t>COOMBES TEST - DIRECT</t>
  </si>
  <si>
    <t>DAT</t>
  </si>
  <si>
    <t>DIAMED IAG PANEL</t>
  </si>
  <si>
    <t>DCP</t>
  </si>
  <si>
    <t>DIAMED ENZYME PANEL</t>
  </si>
  <si>
    <t>DEP</t>
  </si>
  <si>
    <t>DUFFY PHENOTYPE</t>
  </si>
  <si>
    <t>DUFFY</t>
  </si>
  <si>
    <t>EMERGENCY O Rh NEG ISSUE</t>
  </si>
  <si>
    <t>EMO-</t>
  </si>
  <si>
    <t>HEPARIN INDUCED THROMBOCYTOPENIA</t>
  </si>
  <si>
    <t>EXM</t>
  </si>
  <si>
    <t>HLA CYTOTOXIC ANTIBODY SCREEN (NBS)</t>
  </si>
  <si>
    <t>EXM2</t>
  </si>
  <si>
    <t>KPA TYPE</t>
  </si>
  <si>
    <t>EXM3</t>
  </si>
  <si>
    <t>KIDD PHENOTYPE</t>
  </si>
  <si>
    <t>EXM4</t>
  </si>
  <si>
    <t>KLEIHAUER TEST</t>
  </si>
  <si>
    <t>EXM5</t>
  </si>
  <si>
    <t>ANTI-KPA</t>
  </si>
  <si>
    <t>EXM6</t>
  </si>
  <si>
    <t>ANTIBODY SCREEN (MANUAL)</t>
  </si>
  <si>
    <t>HEPARIN INDUCED HEPARIN</t>
  </si>
  <si>
    <t>HIT</t>
  </si>
  <si>
    <t>COOMBES TEST - MONOSPECIFIC</t>
  </si>
  <si>
    <t>HLA</t>
  </si>
  <si>
    <t>BLOOD GROUP (MANUAL)</t>
  </si>
  <si>
    <t>K3</t>
  </si>
  <si>
    <t>M TYPE / N TYPE</t>
  </si>
  <si>
    <t>KIDD</t>
  </si>
  <si>
    <t>NATIONAL BLOOD SERVICE ENZYME PANEL</t>
  </si>
  <si>
    <t>KL</t>
  </si>
  <si>
    <t>NEUTROPHIL SEROLOGY (NBS)</t>
  </si>
  <si>
    <t>KPA</t>
  </si>
  <si>
    <t>NATIONAL BLOOD SERVICE IAG PANEL</t>
  </si>
  <si>
    <t>MAS</t>
  </si>
  <si>
    <t>PLATELET SEROLOGY (NBS)</t>
  </si>
  <si>
    <t>MDAT</t>
  </si>
  <si>
    <t>ANTIBODY QUANTITATION (NBS)</t>
  </si>
  <si>
    <t>MGP</t>
  </si>
  <si>
    <t>RHESUS PENOTYPE</t>
  </si>
  <si>
    <t>MN</t>
  </si>
  <si>
    <t>ROOM TEMP PANEL (BIRMINGHAM)</t>
  </si>
  <si>
    <t>NEP</t>
  </si>
  <si>
    <t>ROOM TEMP PANEL (DIAMED)</t>
  </si>
  <si>
    <t>NIAP</t>
  </si>
  <si>
    <t>COLD AGGLUTININ TITRE</t>
  </si>
  <si>
    <t>RHP</t>
  </si>
  <si>
    <t>SS TYPE</t>
  </si>
  <si>
    <t>SCAT</t>
  </si>
  <si>
    <t>ANTIBODY TITRE (NBS)</t>
  </si>
  <si>
    <t>SS</t>
  </si>
  <si>
    <t>IAT PANEL  POST ZZAP</t>
  </si>
  <si>
    <t>ZZPAN</t>
  </si>
  <si>
    <t>ANTIT</t>
  </si>
  <si>
    <t>IMMUNOLOGY</t>
  </si>
  <si>
    <t>ADRENAL ANTIBODIES</t>
  </si>
  <si>
    <t>ACETYL CHOLINE RECEPTOR ANTIBODY (sent away)</t>
  </si>
  <si>
    <t>ACHR</t>
  </si>
  <si>
    <t>ANA (see connective tissue ANA screen)</t>
  </si>
  <si>
    <t>ADR</t>
  </si>
  <si>
    <t>ANCA - ANTI-NEUTROPHIL CYTO ANTIBODIES</t>
  </si>
  <si>
    <t>ALLERGEN SPECIFIC IgE PANEL (PER PANEL)</t>
  </si>
  <si>
    <t>ANTI CARDIOLIPIN IgG &amp; IgM</t>
  </si>
  <si>
    <t>ANTI C1 ESTERASE ANTIBODY</t>
  </si>
  <si>
    <t>ANTI RI (ANNA-2) NEURONAL ANTIBODY (CSF)</t>
  </si>
  <si>
    <t>ANTI RI (ANNA-2) NEURONAL ANTIBODY (sent away)</t>
  </si>
  <si>
    <t>ANTI-COLLEGEN TYPE 2(send away)</t>
  </si>
  <si>
    <t>ANTI-CHOLINESTERASE Ab(send away)</t>
  </si>
  <si>
    <t>AMYLOID-A(send away)</t>
  </si>
  <si>
    <t>ANTI-C1Q ANTIBODY</t>
  </si>
  <si>
    <t>ANTI-IGA ANTIBODY (send away)</t>
  </si>
  <si>
    <t>AQUAPORIN 4 (Send away)</t>
  </si>
  <si>
    <t>Free at moment</t>
  </si>
  <si>
    <t>ASPERGILLUS PRECIPITINS</t>
  </si>
  <si>
    <t>AVIAN PRECIPITINS</t>
  </si>
  <si>
    <t>BETA 2 GLYCOPROTEIN 1</t>
  </si>
  <si>
    <t xml:space="preserve">BETA 2 MICROGLOBULIN (NON HAZARDOUS) </t>
  </si>
  <si>
    <t>BETA 2 MICROGLOBULIN URINE</t>
  </si>
  <si>
    <t xml:space="preserve">C1 ESTERASE INHIBITOR  </t>
  </si>
  <si>
    <t xml:space="preserve">C1 ESTERASE INHIBITOR FUNCTIONAL ASSAY </t>
  </si>
  <si>
    <t xml:space="preserve">C3 NEPHRITIC FACTOR  </t>
  </si>
  <si>
    <t>CARDIAC MUSCLE ANTIBODY</t>
  </si>
  <si>
    <t>CARTILAGE ANTIBODY (sent away)</t>
  </si>
  <si>
    <t>COMPONENT RESOLVED DIAGNOSIS</t>
  </si>
  <si>
    <t xml:space="preserve">CENTROMERE </t>
  </si>
  <si>
    <t xml:space="preserve">CH50(FUNCTIONAL COMPLEMENT ASSAY)+C3C4 </t>
  </si>
  <si>
    <t>COMPLEMENT C3C4</t>
  </si>
  <si>
    <t>COMPLEMENT COMPONENT C2</t>
  </si>
  <si>
    <t>ALT'VE COMPLEMENT PATHWAY FACTOR H</t>
  </si>
  <si>
    <t>ALT'VE COMPLEMENT PATHWAY AP50</t>
  </si>
  <si>
    <t>ALT'VE COMP PATHWAY -ELISA</t>
  </si>
  <si>
    <t>CLASSICAL COMP PATHWAT- ELISA</t>
  </si>
  <si>
    <t>COMPLEMENT MANNIN BINDING LECTINS</t>
  </si>
  <si>
    <t>CONNECTIVE TISSUE ANA SCREEN</t>
  </si>
  <si>
    <t xml:space="preserve">CRYOGLOBULIN </t>
  </si>
  <si>
    <t xml:space="preserve">CSF ALBUMIN </t>
  </si>
  <si>
    <t>CSF Analysis (IgG Alb and OCBS)</t>
  </si>
  <si>
    <t>CSF CALCULATION NO COST</t>
  </si>
  <si>
    <t>CSF IGG</t>
  </si>
  <si>
    <t>CSF IMMUNOELECTROPHORESIS</t>
  </si>
  <si>
    <t>DNA  ANTIBODIES</t>
  </si>
  <si>
    <t>ENA EXTENDED SCREEN</t>
  </si>
  <si>
    <t>ENA PROFILE</t>
  </si>
  <si>
    <t>ENA SCREEN</t>
  </si>
  <si>
    <t>ENDOMYSIAL ANTIBODY IGA</t>
  </si>
  <si>
    <t>ENDOMYSIAL ANTIBODY IGG</t>
  </si>
  <si>
    <t>ENTEROCYTE ANTIBODY (sent away)</t>
  </si>
  <si>
    <t>ALLERGEN SPECIFIC IgE SINGLE (PER ALLERGEN)</t>
  </si>
  <si>
    <t>FARMER'S LUNG PRECIPITINS</t>
  </si>
  <si>
    <t xml:space="preserve">ALMOND </t>
  </si>
  <si>
    <t>F20</t>
  </si>
  <si>
    <t>FREE LIGHT CHAINS (SERUM)</t>
  </si>
  <si>
    <t>CANT</t>
  </si>
  <si>
    <t>FUNCTIONAL ANTIBODIES (PNEUMO IgG 1&amp;2 TETANUS IgG HAEM B)</t>
  </si>
  <si>
    <t>ANCA</t>
  </si>
  <si>
    <t>GASTRIC PARIETAL CELL ANTIBODY</t>
  </si>
  <si>
    <t xml:space="preserve">ANIMAL PANEL 1(CAT EPITHELIUM-HORSE DANDER-COW DANDER- DOG DANDER)   </t>
  </si>
  <si>
    <t>EP1</t>
  </si>
  <si>
    <t xml:space="preserve">GLOMERULAR BASEMENT MEMBRANE ANTIBODY </t>
  </si>
  <si>
    <t xml:space="preserve">ANTI CARDIOLIPIN </t>
  </si>
  <si>
    <t>ACLA</t>
  </si>
  <si>
    <t>HAEMOPHILUS B</t>
  </si>
  <si>
    <t>CRI</t>
  </si>
  <si>
    <t>HEP2</t>
  </si>
  <si>
    <t>RI</t>
  </si>
  <si>
    <t xml:space="preserve">HISTONE ABS </t>
  </si>
  <si>
    <t>ACT2</t>
  </si>
  <si>
    <t>IGA LOW CONCENTRATION</t>
  </si>
  <si>
    <t>ACHO</t>
  </si>
  <si>
    <t xml:space="preserve">IGG SUBCLASSES </t>
  </si>
  <si>
    <t>AMY</t>
  </si>
  <si>
    <t>IMMUNOELECTROPHORESIS (URINE)</t>
  </si>
  <si>
    <t>AC1Q</t>
  </si>
  <si>
    <t>IMMUNOELECTROPHORESIS (SERUM)</t>
  </si>
  <si>
    <t>AGA</t>
  </si>
  <si>
    <t>IMMUNOFIXATION (IFIX)</t>
  </si>
  <si>
    <t xml:space="preserve">ASPERGILLUS FUMIGATUS </t>
  </si>
  <si>
    <t>M3</t>
  </si>
  <si>
    <t xml:space="preserve">IMMUNOGLOBULIN D </t>
  </si>
  <si>
    <t>ASPP</t>
  </si>
  <si>
    <t xml:space="preserve">IMMUNOGLOBULIN E </t>
  </si>
  <si>
    <t>AVACADO</t>
  </si>
  <si>
    <t>F96</t>
  </si>
  <si>
    <t>IMMUNOGLOBULIN IGA</t>
  </si>
  <si>
    <t>AVPP</t>
  </si>
  <si>
    <t>IMMUNOGLOBULIN IGG</t>
  </si>
  <si>
    <t>BANANA</t>
  </si>
  <si>
    <t>F92</t>
  </si>
  <si>
    <t>IMMUNOGLOBULIN IGM</t>
  </si>
  <si>
    <t>ABG1</t>
  </si>
  <si>
    <t xml:space="preserve">IMMUNOGLOBULINS + SERUM ELECTROPHORESIS </t>
  </si>
  <si>
    <t>B2MI</t>
  </si>
  <si>
    <t>INSULIN ANTIBODIES (send away)</t>
  </si>
  <si>
    <t>B2U</t>
  </si>
  <si>
    <t>BIRCH POLLEN</t>
  </si>
  <si>
    <t>T3</t>
  </si>
  <si>
    <t xml:space="preserve">ISLET CELL ANTIBODY </t>
  </si>
  <si>
    <t xml:space="preserve">BRAZIL NUT </t>
  </si>
  <si>
    <t>F18</t>
  </si>
  <si>
    <t>COMPLEMENT C2</t>
  </si>
  <si>
    <t>CEST</t>
  </si>
  <si>
    <t xml:space="preserve">ISOELECTRIC FOCUSING (CSF) </t>
  </si>
  <si>
    <t>C1F</t>
  </si>
  <si>
    <t xml:space="preserve">ISOELECTRIC FOCUSING (SERUM OR URINE) </t>
  </si>
  <si>
    <t>C3NF</t>
  </si>
  <si>
    <t>KAPPA BJP</t>
  </si>
  <si>
    <t>CACAO</t>
  </si>
  <si>
    <t>F93</t>
  </si>
  <si>
    <t>LAMDA BJP</t>
  </si>
  <si>
    <t>CAGEBIRD FEATHER MIX (Budgie Canary Parakeet Parrot Finch)</t>
  </si>
  <si>
    <t>EX72</t>
  </si>
  <si>
    <t>LIVER SCREEN</t>
  </si>
  <si>
    <t>CARDIAC MUSCLE ANTIBODY (sent away)</t>
  </si>
  <si>
    <t>CARD</t>
  </si>
  <si>
    <t xml:space="preserve">M2 MITOCHONDRIAL ANTIBODY </t>
  </si>
  <si>
    <t>CART</t>
  </si>
  <si>
    <t>MPO ANTIBODIES</t>
  </si>
  <si>
    <t>CASHEW NUT</t>
  </si>
  <si>
    <t>F202</t>
  </si>
  <si>
    <t>MPO ANTIBODIES (NEW METHOD)</t>
  </si>
  <si>
    <t xml:space="preserve">CAT EPITHELIUM </t>
  </si>
  <si>
    <t>E1</t>
  </si>
  <si>
    <t>NUCLEOSOMES</t>
  </si>
  <si>
    <t>CCP1</t>
  </si>
  <si>
    <t xml:space="preserve">OVARIAN ANTIBODY </t>
  </si>
  <si>
    <t>CENT</t>
  </si>
  <si>
    <t>PARATHYROID ANTIBODY (sent away)</t>
  </si>
  <si>
    <t>CH50</t>
  </si>
  <si>
    <t xml:space="preserve">PEMPHIGOID/PEMPHIGUS ANTIBODYSKIN </t>
  </si>
  <si>
    <t xml:space="preserve">CHEESE- CHEDDAR TYPE </t>
  </si>
  <si>
    <t>F81</t>
  </si>
  <si>
    <t>PITUITARY ANTIBODY (sent away)</t>
  </si>
  <si>
    <t xml:space="preserve">CHICKEN MEAT </t>
  </si>
  <si>
    <t>F83</t>
  </si>
  <si>
    <t>PNEUMOCCOCCUS</t>
  </si>
  <si>
    <t>CHLORHEXIDINE</t>
  </si>
  <si>
    <t>C8</t>
  </si>
  <si>
    <t>PREVNAR ASSAY</t>
  </si>
  <si>
    <t>COCONUT</t>
  </si>
  <si>
    <t>F36</t>
  </si>
  <si>
    <t>PR3 ANTIBODIES</t>
  </si>
  <si>
    <t xml:space="preserve">CODFISH </t>
  </si>
  <si>
    <t>F3</t>
  </si>
  <si>
    <t>PR3 ANTIBODIES (NEW METHOD)</t>
  </si>
  <si>
    <t>C3C4</t>
  </si>
  <si>
    <t>PARANEOPLASTIC ANTIBODY</t>
  </si>
  <si>
    <t>CCC2</t>
  </si>
  <si>
    <t>PURKINJE CELL ANTIBODY (CSF)</t>
  </si>
  <si>
    <t>FACH</t>
  </si>
  <si>
    <t>PURKINJE CELL ANTIBODY (SERUM)</t>
  </si>
  <si>
    <t>CRYO</t>
  </si>
  <si>
    <t>CALB</t>
  </si>
  <si>
    <t>GLOMERULAR BASEMENT MEMBRANE QUANTITATIVE</t>
  </si>
  <si>
    <t>OCBS</t>
  </si>
  <si>
    <t>RHEUMATOID FACTOR SCREEN</t>
  </si>
  <si>
    <t>CSFI</t>
  </si>
  <si>
    <t>RHEUMATOID FACTOR TITRE</t>
  </si>
  <si>
    <t>CIEP</t>
  </si>
  <si>
    <t>RNP</t>
  </si>
  <si>
    <t>DND1</t>
  </si>
  <si>
    <t>SALIVARY ALBUMIN</t>
  </si>
  <si>
    <t xml:space="preserve">DOG DANDER </t>
  </si>
  <si>
    <t>E5</t>
  </si>
  <si>
    <t xml:space="preserve">SALIVARY GLAND ANTIBODY </t>
  </si>
  <si>
    <t xml:space="preserve">EGG WHITE </t>
  </si>
  <si>
    <t>F1</t>
  </si>
  <si>
    <t>SALIVARY IGA</t>
  </si>
  <si>
    <t xml:space="preserve">EGG YOLK </t>
  </si>
  <si>
    <t>F75</t>
  </si>
  <si>
    <t>SCANNED MONOCLONAL COMPONENT</t>
  </si>
  <si>
    <t>ENAX</t>
  </si>
  <si>
    <t xml:space="preserve">SERUM ALBUMIN </t>
  </si>
  <si>
    <t>ENAP</t>
  </si>
  <si>
    <t xml:space="preserve">SERUM ELECTROPHORESIS PART OF IGS </t>
  </si>
  <si>
    <t>ENAS</t>
  </si>
  <si>
    <t>SERUM HAPTOGLOBINS</t>
  </si>
  <si>
    <t>ENDO</t>
  </si>
  <si>
    <t>SKELETAL MUSCLE ANTIBODY</t>
  </si>
  <si>
    <t>ENDG</t>
  </si>
  <si>
    <t>SM</t>
  </si>
  <si>
    <t>ENTA</t>
  </si>
  <si>
    <t>SSA</t>
  </si>
  <si>
    <t>FLPP</t>
  </si>
  <si>
    <t>SSB</t>
  </si>
  <si>
    <t xml:space="preserve">FOOD PANEL 1(PEANUT-HAZELNUT-BRAZIL NUT-ALMOND-COCONUT) </t>
  </si>
  <si>
    <t>FP1</t>
  </si>
  <si>
    <t xml:space="preserve">STEROID CELL ANTIBODIES </t>
  </si>
  <si>
    <t xml:space="preserve">FOOD PANEL 3(WHEAT-OAT-CORN-SESAME SEED-BUCKWHEAT) </t>
  </si>
  <si>
    <t>FP3</t>
  </si>
  <si>
    <t>TETANUS IGG TOTAL</t>
  </si>
  <si>
    <t xml:space="preserve">FOOD PANEL 5 (EGG WHITE-MILK-WHEAT-PEANUT-SOYABEAN) </t>
  </si>
  <si>
    <t>FP5</t>
  </si>
  <si>
    <t>THYROID PEROXIDASE ANTIBODY</t>
  </si>
  <si>
    <t xml:space="preserve">FOOD PANEL2(CODFISH-SHRIMP-BLUE MUSSEL-TUNA-SALMON) </t>
  </si>
  <si>
    <t>FP2</t>
  </si>
  <si>
    <t>TISSUE TRANSGLUTAMINASE IgA</t>
  </si>
  <si>
    <t>HIB</t>
  </si>
  <si>
    <t>TISSUE TRANSGLUTAMINASE IgG</t>
  </si>
  <si>
    <t>GANGLIOSIDE ANTIBODIES (sent away)</t>
  </si>
  <si>
    <t>GQ1B</t>
  </si>
  <si>
    <t xml:space="preserve">TRYPTASE </t>
  </si>
  <si>
    <t>GPC</t>
  </si>
  <si>
    <t>UNLABELLED SAMPLE</t>
  </si>
  <si>
    <t>GBM</t>
  </si>
  <si>
    <t>ELECTROPHORESIS URINE (BJP)</t>
  </si>
  <si>
    <t xml:space="preserve">GLUTEN </t>
  </si>
  <si>
    <t>F79</t>
  </si>
  <si>
    <t>IMMUNOELECTROPHORESIS  (URINE)</t>
  </si>
  <si>
    <t>GM1 ANTIBODIES (sent away)</t>
  </si>
  <si>
    <t>GM1</t>
  </si>
  <si>
    <t>ISOELECTRIC FOCUSING  (URINE)</t>
  </si>
  <si>
    <t>GRASS POLLEN MIX</t>
  </si>
  <si>
    <t>GP1</t>
  </si>
  <si>
    <t>VOLTAGE GATED CALCIUM CHANNEL(SENDAWAY)</t>
  </si>
  <si>
    <t>HAEM</t>
  </si>
  <si>
    <t>VOLTAGE GATED POTASSIUM CHANNEL (send away)</t>
  </si>
  <si>
    <t xml:space="preserve">HAZELNUT </t>
  </si>
  <si>
    <t>F17</t>
  </si>
  <si>
    <t>HIST</t>
  </si>
  <si>
    <t xml:space="preserve">HONEY BEE VENOM </t>
  </si>
  <si>
    <t>I1</t>
  </si>
  <si>
    <t>AMOXICILLIN</t>
  </si>
  <si>
    <t xml:space="preserve">HORSE DANDER </t>
  </si>
  <si>
    <t>E3</t>
  </si>
  <si>
    <t>AMPICILLIN</t>
  </si>
  <si>
    <t xml:space="preserve">HOUSE DUST MITE </t>
  </si>
  <si>
    <t>D1</t>
  </si>
  <si>
    <t>ALC</t>
  </si>
  <si>
    <t>SUBS</t>
  </si>
  <si>
    <t>IEP</t>
  </si>
  <si>
    <t>IMMUNOELECTROPHORESIS (IEP)</t>
  </si>
  <si>
    <t>IFIX</t>
  </si>
  <si>
    <t>RIGD</t>
  </si>
  <si>
    <t>IGE</t>
  </si>
  <si>
    <t>RIGA</t>
  </si>
  <si>
    <t>RIGG</t>
  </si>
  <si>
    <t>RIGM</t>
  </si>
  <si>
    <t>IGS</t>
  </si>
  <si>
    <t>ICA</t>
  </si>
  <si>
    <t>CIEF</t>
  </si>
  <si>
    <t>IEF</t>
  </si>
  <si>
    <t>KBJP</t>
  </si>
  <si>
    <t>KIWI FRUIT</t>
  </si>
  <si>
    <t>F84</t>
  </si>
  <si>
    <t>LBJP</t>
  </si>
  <si>
    <t>LATEX ALLERGEN</t>
  </si>
  <si>
    <t>K82</t>
  </si>
  <si>
    <t>EGG (WHOLE)</t>
  </si>
  <si>
    <t>LEMON ALLERGEN</t>
  </si>
  <si>
    <t>F208</t>
  </si>
  <si>
    <t>LAIP</t>
  </si>
  <si>
    <t>M2</t>
  </si>
  <si>
    <t xml:space="preserve">MILK </t>
  </si>
  <si>
    <t>F2M</t>
  </si>
  <si>
    <t xml:space="preserve">MOLD PANEL 1(PENICILLIUM NOTATUM-CLADOSPORIUM HERBARUM-ASPERGILLUS FUMIGATUS-CANDIDA ALBICANS-ALTERNARIA TENIUS) </t>
  </si>
  <si>
    <t>MP1</t>
  </si>
  <si>
    <t>OAT</t>
  </si>
  <si>
    <t>MPO</t>
  </si>
  <si>
    <t>OVOMUCOID</t>
  </si>
  <si>
    <t>MUSCLE SPECIFIC KINASE (SEND AWAY)</t>
  </si>
  <si>
    <t>MUSK</t>
  </si>
  <si>
    <t>rArah2</t>
  </si>
  <si>
    <t>MYELIN ASSOCIATED GLYCOPROTEIN</t>
  </si>
  <si>
    <t>AMAG</t>
  </si>
  <si>
    <t>rArah8</t>
  </si>
  <si>
    <t>ORANGE</t>
  </si>
  <si>
    <t>F33</t>
  </si>
  <si>
    <t>rCora8</t>
  </si>
  <si>
    <t>NULC</t>
  </si>
  <si>
    <t>GELOFUSIN</t>
  </si>
  <si>
    <t>OVAB</t>
  </si>
  <si>
    <t>PTHY</t>
  </si>
  <si>
    <t>PECAN NUT</t>
  </si>
  <si>
    <t>F201</t>
  </si>
  <si>
    <t>PEANUT</t>
  </si>
  <si>
    <t>F13M</t>
  </si>
  <si>
    <t>SKIN</t>
  </si>
  <si>
    <t xml:space="preserve">PENICILLIN G </t>
  </si>
  <si>
    <t>P10</t>
  </si>
  <si>
    <t xml:space="preserve">PENICILLIN V </t>
  </si>
  <si>
    <t>P20</t>
  </si>
  <si>
    <t>PISTACHIO NUT</t>
  </si>
  <si>
    <t>F203</t>
  </si>
  <si>
    <t>PITY</t>
  </si>
  <si>
    <t>PGT</t>
  </si>
  <si>
    <t>LIPID TRANSFER PROTEIN (Pru-P3)</t>
  </si>
  <si>
    <t>POULTRY FEATHER MIX(Goose Chicken Duck Turkey)</t>
  </si>
  <si>
    <t>EX71</t>
  </si>
  <si>
    <t>PR3</t>
  </si>
  <si>
    <t>CYO</t>
  </si>
  <si>
    <t>MORPHINE (QUATERNARY AMMONIUM)</t>
  </si>
  <si>
    <t>CHU</t>
  </si>
  <si>
    <t>HU</t>
  </si>
  <si>
    <t>OMEGA-5-GLIADIN</t>
  </si>
  <si>
    <t>YO</t>
  </si>
  <si>
    <t>QUALITATIVE GLOMERULAR BASEMENT MEMBRANE</t>
  </si>
  <si>
    <t>GBMQ</t>
  </si>
  <si>
    <t>RFS2</t>
  </si>
  <si>
    <t>RFT</t>
  </si>
  <si>
    <t>SIGA</t>
  </si>
  <si>
    <t>SALB</t>
  </si>
  <si>
    <t>RAST COMMENT NO COST</t>
  </si>
  <si>
    <t>HSAL</t>
  </si>
  <si>
    <t>SALMON</t>
  </si>
  <si>
    <t>RALB</t>
  </si>
  <si>
    <t xml:space="preserve">SESAME </t>
  </si>
  <si>
    <t>ELEC</t>
  </si>
  <si>
    <t>SHRIMP/PRAWN</t>
  </si>
  <si>
    <t>HPT</t>
  </si>
  <si>
    <t xml:space="preserve">SOYBEAN </t>
  </si>
  <si>
    <t>F10M</t>
  </si>
  <si>
    <t>STAPH ENTEROTOXIN B (SEB)</t>
  </si>
  <si>
    <t>SKEL</t>
  </si>
  <si>
    <t>STRAWBERRY</t>
  </si>
  <si>
    <t>SUXAMETHONIUM</t>
  </si>
  <si>
    <t>F14</t>
  </si>
  <si>
    <t xml:space="preserve">TIMOTHY GRASS POLLEN </t>
  </si>
  <si>
    <t>TOMATO</t>
  </si>
  <si>
    <t xml:space="preserve">TREE PANEL 6 (MAPLE-BOX ELDER-BIRCH-BEECH-OAK-WALNUT) </t>
  </si>
  <si>
    <t>STAB</t>
  </si>
  <si>
    <t>WALNUT</t>
  </si>
  <si>
    <t>F44</t>
  </si>
  <si>
    <t xml:space="preserve">WHEAT </t>
  </si>
  <si>
    <t>TET</t>
  </si>
  <si>
    <t xml:space="preserve">YELLOW JACKET VENOM (WASP) </t>
  </si>
  <si>
    <t>TPO</t>
  </si>
  <si>
    <t>ABSOLUTE CELL COUNTS</t>
  </si>
  <si>
    <t>G6</t>
  </si>
  <si>
    <t>ACUTE MYELOID</t>
  </si>
  <si>
    <t>TTGA</t>
  </si>
  <si>
    <t>CD40</t>
  </si>
  <si>
    <t>F25</t>
  </si>
  <si>
    <t>CD4T</t>
  </si>
  <si>
    <t>TP6</t>
  </si>
  <si>
    <t>COMMON VARIABLE IMMUNODEFFICIENCY SCREEN</t>
  </si>
  <si>
    <t>TRYP</t>
  </si>
  <si>
    <t xml:space="preserve">IMMUNODEFICIENCY SCREEN NEW PATIENT </t>
  </si>
  <si>
    <t>ULS</t>
  </si>
  <si>
    <t>URINE ELECTROPHORESIS</t>
  </si>
  <si>
    <t>BJP</t>
  </si>
  <si>
    <t xml:space="preserve">NEUTOPHIL OXIDATIVE BURST </t>
  </si>
  <si>
    <t xml:space="preserve">URINE IMMUNOELECTROPHORESIS </t>
  </si>
  <si>
    <t>UIEP</t>
  </si>
  <si>
    <t xml:space="preserve">URINE ISOELECTRIC FOCUSING </t>
  </si>
  <si>
    <t>UIEF</t>
  </si>
  <si>
    <t>HLA B27 - inappropriate sample</t>
  </si>
  <si>
    <t>F256</t>
  </si>
  <si>
    <t>T-CELL ACTIVATION</t>
  </si>
  <si>
    <t>F4</t>
  </si>
  <si>
    <t>LYMPHOCYTE PROLIFERATION (PHA)</t>
  </si>
  <si>
    <t>I3</t>
  </si>
  <si>
    <t>PAROXYMAL NOCTURNAL HAEMAGLOBINUREA SCREEN</t>
  </si>
  <si>
    <t>A</t>
  </si>
  <si>
    <t>PRIMARY LEUKAEMIA/LYMPHOMA SCREEN</t>
  </si>
  <si>
    <t>AMLE</t>
  </si>
  <si>
    <t xml:space="preserve">MONITORING ALL </t>
  </si>
  <si>
    <t>C5</t>
  </si>
  <si>
    <t>MONITORING AML</t>
  </si>
  <si>
    <t>C6</t>
  </si>
  <si>
    <t>REDUCED ACUTE LEUKAEMIA SCREEN</t>
  </si>
  <si>
    <t>F7M</t>
  </si>
  <si>
    <t>REDUCED TALL</t>
  </si>
  <si>
    <t>F233</t>
  </si>
  <si>
    <t>RITUXIMAB THERAPY</t>
  </si>
  <si>
    <t>F423</t>
  </si>
  <si>
    <t>SECONDARY B CELL LYMPHOMA SCREEN</t>
  </si>
  <si>
    <t>F425</t>
  </si>
  <si>
    <t>IMMUNE MONITORING</t>
  </si>
  <si>
    <t>C74</t>
  </si>
  <si>
    <t>TCR ALPHA BETA</t>
  </si>
  <si>
    <t>F41</t>
  </si>
  <si>
    <t>TCR GAMMA DELTA</t>
  </si>
  <si>
    <t>LYMPHOCYTE SUBSETS</t>
  </si>
  <si>
    <t>T-CELL RECEPTOR</t>
  </si>
  <si>
    <t>CVID</t>
  </si>
  <si>
    <t>SECONDARY T SCREEN</t>
  </si>
  <si>
    <t xml:space="preserve">HAIRY CELL LEUKAEMIA </t>
  </si>
  <si>
    <t>HC</t>
  </si>
  <si>
    <t>TDT</t>
  </si>
  <si>
    <t>ID</t>
  </si>
  <si>
    <t>T-CELL MEMORY SUBSETS</t>
  </si>
  <si>
    <t>LDS</t>
  </si>
  <si>
    <t xml:space="preserve">HLA B27 </t>
  </si>
  <si>
    <t>B27</t>
  </si>
  <si>
    <t>B27C</t>
  </si>
  <si>
    <t>LEUKAEMIA SCREEN/ MONITORING PANEL-1</t>
  </si>
  <si>
    <t>TCV</t>
  </si>
  <si>
    <t>LEUKAEMIA SCREEN/ MONITORING PANEL-10</t>
  </si>
  <si>
    <t>PHA</t>
  </si>
  <si>
    <t>LEUKAEMIA SCREEN/ MONITORING PANEL-2</t>
  </si>
  <si>
    <t>PNH</t>
  </si>
  <si>
    <t>LEUKAEMIA SCREEN/ MONITORING PANEL-3</t>
  </si>
  <si>
    <t>PRIMARY SCREEN</t>
  </si>
  <si>
    <t>PS</t>
  </si>
  <si>
    <t>LEUKAEMIA SCREEN/ MONITORING PANEL-4</t>
  </si>
  <si>
    <t>LEUKAEMIA SCREEN/ MONITORING PANEL-5</t>
  </si>
  <si>
    <t>LEUKAEMIA SCREEN/ MONITORING PANEL-6</t>
  </si>
  <si>
    <t>LEUKAEMIA SCREEN/ MONITORING PANEL-7</t>
  </si>
  <si>
    <t>LEUKAEMIA SCREEN/ MONITORING PANEL-8</t>
  </si>
  <si>
    <t>LEUKAEMIA SCREEN/ MONITORING PANEL-9</t>
  </si>
  <si>
    <t>MATURE B CELLMARKERS PANEL1</t>
  </si>
  <si>
    <t>MATURE B CELLMARKERS PANEL2</t>
  </si>
  <si>
    <t>MEMORY B CELLS SUBSETS</t>
  </si>
  <si>
    <t>RALL</t>
  </si>
  <si>
    <t>MEMORY T-CELL  SUBSETS</t>
  </si>
  <si>
    <t>RAML</t>
  </si>
  <si>
    <t>MYELOPROLIFERATIVE MDS SCREEN</t>
  </si>
  <si>
    <t>REDUCED ACUTE SCREEN</t>
  </si>
  <si>
    <t>RAS</t>
  </si>
  <si>
    <t>MYELOMA SCREEN/MONITORING</t>
  </si>
  <si>
    <t>RTAL</t>
  </si>
  <si>
    <t>NK-NKT CELL SUBSETS</t>
  </si>
  <si>
    <t>RTX</t>
  </si>
  <si>
    <t>PRIMARY B CELL CLONALITY</t>
  </si>
  <si>
    <t>SECONDARY B SCREEN</t>
  </si>
  <si>
    <t>SB</t>
  </si>
  <si>
    <t>PRIMARY LYMPHOCYTE SUBSETS</t>
  </si>
  <si>
    <t>TBNK</t>
  </si>
  <si>
    <t>PRIMARY T CELL SUBSETS</t>
  </si>
  <si>
    <t>TCAB</t>
  </si>
  <si>
    <t>SECONDARY B CELL MATURATION MARKERS</t>
  </si>
  <si>
    <t>TCGD</t>
  </si>
  <si>
    <t>T CELL SUBSETS</t>
  </si>
  <si>
    <t>TCRA</t>
  </si>
  <si>
    <t>TBNK CELL MARKERS</t>
  </si>
  <si>
    <t>TCS</t>
  </si>
  <si>
    <t>TM</t>
  </si>
  <si>
    <t>MOLECULAR BIOLOGY</t>
  </si>
  <si>
    <t>IMMUNODEFIC. CASES (INCL. PCR1 &amp; TCRD)</t>
  </si>
  <si>
    <t>LIGHT CHAIN REARRANGEMENTS</t>
  </si>
  <si>
    <t>IgGHD-J GENER REARRANGEMENTS</t>
  </si>
  <si>
    <t>IGH</t>
  </si>
  <si>
    <t>PARAFFIN PCR INCL. PCR1 &amp; MW MARKER</t>
  </si>
  <si>
    <t>PARAFFIN PCR INCL. PCR1- MW &amp; IgL (suspected B cell disease)</t>
  </si>
  <si>
    <t>PCR STANDARD REQUEST FOR ALL TCRS &amp; IgH</t>
  </si>
  <si>
    <t>PCR (IGH-TCR BETA GAMMA)</t>
  </si>
  <si>
    <t>PCR FRESH SAMPLES B CELL SUSPECTED (INCL. PCR1 &amp; IgL)</t>
  </si>
  <si>
    <t>PCR HANDLING CHARGE</t>
  </si>
  <si>
    <t>REQUEST FOR TCR ONLY</t>
  </si>
  <si>
    <t>TCRVB SPECTRATYPING</t>
  </si>
  <si>
    <t>TCR(BETA GAMMA)</t>
  </si>
  <si>
    <t>TCR DELTA</t>
  </si>
  <si>
    <t>TCRG</t>
  </si>
  <si>
    <t>T(11:14) TRANSLOCATION</t>
  </si>
  <si>
    <t>T(14:18) TRANSLOCATION</t>
  </si>
  <si>
    <t>BCR-ABL QUANTITATION 1</t>
  </si>
  <si>
    <t>BCR-ABL QUANTITATION 2</t>
  </si>
  <si>
    <t>BCR-ABL QUANTITATION 1 + 2</t>
  </si>
  <si>
    <t>HLA B57</t>
  </si>
  <si>
    <t>BEHCETS</t>
  </si>
  <si>
    <t>IDEF</t>
  </si>
  <si>
    <t xml:space="preserve">FULL HLA CLASS 1+11 </t>
  </si>
  <si>
    <t>KAPPA &amp; LAMBDA</t>
  </si>
  <si>
    <t>IGL</t>
  </si>
  <si>
    <t>HIGH RESOLUTION CLASS II TYPING</t>
  </si>
  <si>
    <t>HDJ</t>
  </si>
  <si>
    <t>HLA TYPEING FOR LUDWIG STUDY</t>
  </si>
  <si>
    <t>CLASS 1 MATCHED PLATELETS</t>
  </si>
  <si>
    <t>PAF</t>
  </si>
  <si>
    <t xml:space="preserve">HLA CLASS 1 (A-B) </t>
  </si>
  <si>
    <t>PAFB</t>
  </si>
  <si>
    <t xml:space="preserve">HLA CLASS 11 (DR- DQ) </t>
  </si>
  <si>
    <t>PCR1</t>
  </si>
  <si>
    <t>HEAMOCHROMATOSIS GENOTYPE</t>
  </si>
  <si>
    <t>PCR</t>
  </si>
  <si>
    <t>INAPPROPRIATE SAMPLE</t>
  </si>
  <si>
    <t>PCRB</t>
  </si>
  <si>
    <t>NARCOLEPSY</t>
  </si>
  <si>
    <t>PCRH</t>
  </si>
  <si>
    <t>FACTOR V LEIDEN</t>
  </si>
  <si>
    <t>PCRT</t>
  </si>
  <si>
    <t>METHALINE TETRAHYDRA FOLATE REDUCTASE</t>
  </si>
  <si>
    <t>SPECTRATYPING</t>
  </si>
  <si>
    <t>SPTY</t>
  </si>
  <si>
    <t>FACTOR II MUTATION</t>
  </si>
  <si>
    <t>TCR</t>
  </si>
  <si>
    <t>HLA CLASS 1 DESEASE ASSOCIATED STUDIES</t>
  </si>
  <si>
    <t>TCRD</t>
  </si>
  <si>
    <t>CHIMERISM PRIOR TO TRANSPLANT</t>
  </si>
  <si>
    <t>T11</t>
  </si>
  <si>
    <t>CHIMERISM POST TO TRANSPLANT</t>
  </si>
  <si>
    <t>T14</t>
  </si>
  <si>
    <t>PRIMARY B CELL SCREEN</t>
  </si>
  <si>
    <t>BCR-ABL QUANTITATION</t>
  </si>
  <si>
    <t>BCR1</t>
  </si>
  <si>
    <t>MYELOMA MONITORING</t>
  </si>
  <si>
    <t>BCR2</t>
  </si>
  <si>
    <t>Micro Biology</t>
  </si>
  <si>
    <t>(001) Urines</t>
  </si>
  <si>
    <t>(002) Wound</t>
  </si>
  <si>
    <t>(003) Tissue</t>
  </si>
  <si>
    <t>(004) Fluid samples</t>
  </si>
  <si>
    <t>(005) CSF (spinal fluids)</t>
  </si>
  <si>
    <t>(006) MRSA swabs</t>
  </si>
  <si>
    <t>(008) Genital swabs</t>
  </si>
  <si>
    <t>(009) URT (throat swab)</t>
  </si>
  <si>
    <t>(011) LRT (sputum)</t>
  </si>
  <si>
    <t>(012) Faecal samples</t>
  </si>
  <si>
    <t>(014) Blood culture</t>
  </si>
  <si>
    <t>(017) Mycology</t>
  </si>
  <si>
    <t>(018) Mycobacteria (TB)</t>
  </si>
  <si>
    <t>(019) Parasitology</t>
  </si>
  <si>
    <t>(023) Clostridium difficile toxin</t>
  </si>
  <si>
    <t>(M001) Adenovirus PCR</t>
  </si>
  <si>
    <t>(M002) Cytomegalovirus PCR</t>
  </si>
  <si>
    <t>(M003) Hepatitis C RNA</t>
  </si>
  <si>
    <t>(M005) Enterovirus PCR</t>
  </si>
  <si>
    <t>(M006) EBV DNA</t>
  </si>
  <si>
    <t>(M007) Influenza A PCR</t>
  </si>
  <si>
    <t>(M008) Influenza B PCR</t>
  </si>
  <si>
    <t>(M009) Herpes simplex PCR</t>
  </si>
  <si>
    <t>(M010) Norovirus PCR</t>
  </si>
  <si>
    <t>(M012) MENINGITIS PCR</t>
  </si>
  <si>
    <t>(M013) RSV PCR</t>
  </si>
  <si>
    <t>(M016) Hepatitis B DNA</t>
  </si>
  <si>
    <t>(M017) Parainfluenza virus PCR</t>
  </si>
  <si>
    <t>(M019) Varicella zoster PCR</t>
  </si>
  <si>
    <t>(M021) Avian influenza H5 PCR</t>
  </si>
  <si>
    <t>Histo_Immunogenetics</t>
  </si>
  <si>
    <t>HISTOCOMPATIBILITY &amp; IMMUNOGENETICS - 10ML E.D.T.A</t>
  </si>
  <si>
    <t>B57</t>
  </si>
  <si>
    <t>BEHC</t>
  </si>
  <si>
    <t>NC12</t>
  </si>
  <si>
    <t>HR2T</t>
  </si>
  <si>
    <t>MC1</t>
  </si>
  <si>
    <t>C1MP</t>
  </si>
  <si>
    <t>CL1</t>
  </si>
  <si>
    <t>CL2</t>
  </si>
  <si>
    <t>HFE</t>
  </si>
  <si>
    <t>INAP</t>
  </si>
  <si>
    <t>NARC</t>
  </si>
  <si>
    <t>FVL</t>
  </si>
  <si>
    <t>MTFR</t>
  </si>
  <si>
    <t>PTM</t>
  </si>
  <si>
    <t>CLA1</t>
  </si>
  <si>
    <t>CLA2</t>
  </si>
  <si>
    <t>PPLX</t>
  </si>
  <si>
    <t>CHIM</t>
  </si>
  <si>
    <t>RAR3</t>
  </si>
  <si>
    <t>PB</t>
  </si>
  <si>
    <t>MM</t>
  </si>
  <si>
    <t>Parafin Block</t>
  </si>
  <si>
    <t>Not on Listing from Labs</t>
  </si>
  <si>
    <t>Tumour Block</t>
  </si>
  <si>
    <t>UC</t>
  </si>
  <si>
    <t>WC</t>
  </si>
  <si>
    <t>FLCU</t>
  </si>
  <si>
    <t>CMCS</t>
  </si>
  <si>
    <t>MRCS</t>
  </si>
  <si>
    <t>VMC</t>
  </si>
  <si>
    <t>RMC</t>
  </si>
  <si>
    <t>FMC</t>
  </si>
  <si>
    <t>BCS</t>
  </si>
  <si>
    <t>MMC</t>
  </si>
  <si>
    <t>TBC/TBM/TBMC</t>
  </si>
  <si>
    <t>FPAR</t>
  </si>
  <si>
    <t>CD2</t>
  </si>
  <si>
    <t>ADPC</t>
  </si>
  <si>
    <t>CMVP</t>
  </si>
  <si>
    <t>CRES</t>
  </si>
  <si>
    <t>ENTE</t>
  </si>
  <si>
    <t>EPCR</t>
  </si>
  <si>
    <t>FAPC</t>
  </si>
  <si>
    <t>FBPC</t>
  </si>
  <si>
    <t>HPCR</t>
  </si>
  <si>
    <t>NPCR</t>
  </si>
  <si>
    <t>RSPC</t>
  </si>
  <si>
    <t>HBDN</t>
  </si>
  <si>
    <t>PFPC</t>
  </si>
  <si>
    <t>VPCR</t>
  </si>
  <si>
    <t>AFLU</t>
  </si>
  <si>
    <t>Pharmacy</t>
  </si>
  <si>
    <t>Set-up Dispensary based</t>
  </si>
  <si>
    <t>Set-up Oral &amp; Injectable (2 depts)</t>
  </si>
  <si>
    <t>Set-up Technical Services</t>
  </si>
  <si>
    <t>Trial Maintenance monthly</t>
  </si>
  <si>
    <t>Storage</t>
  </si>
  <si>
    <t>Dispensing</t>
  </si>
  <si>
    <t>Medicine reconcilation</t>
  </si>
  <si>
    <t>Injection dispensed</t>
  </si>
  <si>
    <t>waste disposal</t>
  </si>
  <si>
    <t>Radiology</t>
  </si>
  <si>
    <t>Audiology</t>
  </si>
  <si>
    <t>X-Ray multiple views with report</t>
  </si>
  <si>
    <t>UKCLRN</t>
  </si>
  <si>
    <t>X-Ray single view with report</t>
  </si>
  <si>
    <t>X-Ray spine or bone with report</t>
  </si>
  <si>
    <t>Ultrasound Scan less than 20 minutes</t>
  </si>
  <si>
    <t>RA23Z</t>
  </si>
  <si>
    <t>Ultrasound Scan more than 20 minutes</t>
  </si>
  <si>
    <t>RA24Z</t>
  </si>
  <si>
    <t>Ultrasound (Upper Abdomen/Liver)</t>
  </si>
  <si>
    <t>Biopsy ~ bone marrow</t>
  </si>
  <si>
    <t>Biopsy ~ skin</t>
  </si>
  <si>
    <t>Biopsy ~ muscle</t>
  </si>
  <si>
    <t>Biopsy ~ fluoro/ultrasound guidance</t>
  </si>
  <si>
    <t>Biopsy ~  CT guidance</t>
  </si>
  <si>
    <t>Angiography</t>
  </si>
  <si>
    <t>Fluoroscopy/screening</t>
  </si>
  <si>
    <t>Cardiac Investigations</t>
  </si>
  <si>
    <t>POA</t>
  </si>
  <si>
    <t>CXR PA</t>
  </si>
  <si>
    <t>CXR PA &amp; Lat</t>
  </si>
  <si>
    <t>U/S Liver</t>
  </si>
  <si>
    <t>MRI Scan, one area, no contrast</t>
  </si>
  <si>
    <t>RA01Z</t>
  </si>
  <si>
    <t>MRI Scan, one area, post contrast only</t>
  </si>
  <si>
    <t>RA02Z</t>
  </si>
  <si>
    <t>MRI Scan, one area, pre and post contrast</t>
  </si>
  <si>
    <t>RA03Z</t>
  </si>
  <si>
    <t>MRI Scan, two - three areas, no contrast</t>
  </si>
  <si>
    <t>RA04Z</t>
  </si>
  <si>
    <t>MRI Scan, two - three areas, with contrast</t>
  </si>
  <si>
    <t>RA05Z</t>
  </si>
  <si>
    <t>MRI Scan, more than three areas</t>
  </si>
  <si>
    <t>RA06Z</t>
  </si>
  <si>
    <t>MRI Scan, requiring extensive patient repositioning and/or more than one contrast agent</t>
  </si>
  <si>
    <t>RA07Z</t>
  </si>
  <si>
    <t>CT Scan, one area, no contrast</t>
  </si>
  <si>
    <t>RA08Z</t>
  </si>
  <si>
    <t>CT Scan, one area with post contrast only</t>
  </si>
  <si>
    <t>RA09Z</t>
  </si>
  <si>
    <t>CT Scan, one area, pre and post contrast</t>
  </si>
  <si>
    <t>RA10Z</t>
  </si>
  <si>
    <t>CT Scan, two areas without contrast</t>
  </si>
  <si>
    <t>RA11Z</t>
  </si>
  <si>
    <t>CT Scan, two areas with contrast</t>
  </si>
  <si>
    <t>RA12Z</t>
  </si>
  <si>
    <t>CT Scan, three areas with contrast</t>
  </si>
  <si>
    <t>RA13Z</t>
  </si>
  <si>
    <t>CT Scan, more than three areas</t>
  </si>
  <si>
    <t>RA14Z</t>
  </si>
  <si>
    <t>CT Scan Chest-Abdomen-Pelvis (non-contrast)</t>
  </si>
  <si>
    <t>CT Scan Brain (inclusive of contrast)</t>
  </si>
  <si>
    <t>MRI Gadolinium Contrast Media where needed.</t>
  </si>
  <si>
    <t>Duplicate sets of CT films (original data at time of scan)</t>
  </si>
  <si>
    <t xml:space="preserve">Duplicate sets of CT films (retrospective / blinded data) </t>
  </si>
  <si>
    <t>additional films</t>
  </si>
  <si>
    <t>Out of Hours surcharge (MRI / CT) First 2 hours</t>
  </si>
  <si>
    <t>Out of Hours surcharge (MRI / CT) add’n per hour</t>
  </si>
  <si>
    <r>
      <t xml:space="preserve">Out of Hours (Administration &amp; data collection) where </t>
    </r>
    <r>
      <rPr>
        <u val="single"/>
        <sz val="6"/>
        <rFont val="Arial Narrow"/>
        <family val="2"/>
        <charset val="0"/>
      </rPr>
      <t>additional</t>
    </r>
    <r>
      <rPr>
        <sz val="6"/>
        <rFont val="Arial Narrow"/>
        <family val="2"/>
        <charset val="0"/>
      </rPr>
      <t xml:space="preserve"> Senior/ Radiographer time is required.Per person/hour</t>
    </r>
  </si>
  <si>
    <t>Copy Films (First film)</t>
  </si>
  <si>
    <t>Copy Films (Second film and thereafter)</t>
  </si>
  <si>
    <r>
      <t>Copy Films{</t>
    </r>
    <r>
      <rPr>
        <sz val="10"/>
        <rFont val="Arial Narrow"/>
        <family val="2"/>
        <charset val="0"/>
      </rPr>
      <t>Large quantities by special arrangement</t>
    </r>
    <r>
      <rPr>
        <sz val="12"/>
        <rFont val="Arial Narrow"/>
        <family val="2"/>
        <charset val="0"/>
      </rPr>
      <t>}</t>
    </r>
  </si>
  <si>
    <r>
      <t>Cost of 5.25” M-Optical RW Discs if not supplied.</t>
    </r>
    <r>
      <rPr>
        <b/>
        <sz val="10"/>
        <rFont val="Arial Narrow"/>
        <family val="2"/>
        <charset val="0"/>
      </rPr>
      <t xml:space="preserve"> </t>
    </r>
  </si>
  <si>
    <t>Cost of suitable data quality CD/R’s if not supplied. Each</t>
  </si>
  <si>
    <t>Cost of DAT tapes if not supplied. Each</t>
  </si>
  <si>
    <t>MRI Spectroscopy one area</t>
  </si>
  <si>
    <t>MRI Spectroscopy two areas</t>
  </si>
  <si>
    <t>MRI Spectroscopy three areas</t>
  </si>
  <si>
    <t>Film skeletal study</t>
  </si>
  <si>
    <t>PET Scans - Portsmouuth</t>
  </si>
  <si>
    <t>Mammogram</t>
  </si>
  <si>
    <t>Barium Study</t>
  </si>
  <si>
    <t>Film copy</t>
  </si>
  <si>
    <t>CT Contrast Cost</t>
  </si>
  <si>
    <t>MRI Contrast cost</t>
  </si>
  <si>
    <t>MRI Spectroscopy</t>
  </si>
  <si>
    <t>Outpatients_FirstAttendance_Single_Professional</t>
  </si>
  <si>
    <t>Outpatients 1st Att C.L. A &amp; E</t>
  </si>
  <si>
    <t>WF01B Speciality Average Cost</t>
  </si>
  <si>
    <t>Outpatients 1st Att S.P. Cancer</t>
  </si>
  <si>
    <t>Outpatients 1st Att S.P. Cardiology</t>
  </si>
  <si>
    <t>Outpatients 1st Att S.P. Ear, Nose &amp; Throat</t>
  </si>
  <si>
    <t>Outpatients 1st Att S.P. Gynaecology</t>
  </si>
  <si>
    <t xml:space="preserve">Outpatients 1st Att C.L. Medicine </t>
  </si>
  <si>
    <t xml:space="preserve">Outpatients 1st Att S.P. Medicine </t>
  </si>
  <si>
    <t>Outpatients 1st Att C.L. Neurology</t>
  </si>
  <si>
    <t xml:space="preserve">Outpatients 1st Att S.P. Ophthalmology </t>
  </si>
  <si>
    <t xml:space="preserve">Outpatients 1st Att S.P. Orthodontics </t>
  </si>
  <si>
    <t>Outpatients 1st Att S.P. Paediatric</t>
  </si>
  <si>
    <t>Outpatients 1st Att C.L. Paediatric</t>
  </si>
  <si>
    <t>Outpatients 1st Att C.L. Surgery</t>
  </si>
  <si>
    <t>Outpatients 1st Att S.P. Surgery</t>
  </si>
  <si>
    <t>Outpatients 1st Att S.P.T &amp; O</t>
  </si>
  <si>
    <t>Outpatients_FollowUp_Single_Professional</t>
  </si>
  <si>
    <t>Outpatients F/up C.L. A &amp; E</t>
  </si>
  <si>
    <t>WF01A Speciality Average Cost</t>
  </si>
  <si>
    <t>Outpatients F/up S.P. Cancer</t>
  </si>
  <si>
    <t>Outpatients F/up S.P. Cardiology</t>
  </si>
  <si>
    <t>Outpatients F/up S.P. Ear, Nose &amp; Throat</t>
  </si>
  <si>
    <t>Outpatients F/up S.P. Gynaecology</t>
  </si>
  <si>
    <t xml:space="preserve">Outpatients F/up C.L. Medicine </t>
  </si>
  <si>
    <t xml:space="preserve">Outpatients F/up S.P. Medicine </t>
  </si>
  <si>
    <t>Outpatients F/up C.L. Neurology</t>
  </si>
  <si>
    <t xml:space="preserve">Outpatients F/up S.P. Ophthalmology </t>
  </si>
  <si>
    <t xml:space="preserve">Outpatients F/up S.P. Orthodontics </t>
  </si>
  <si>
    <t>Outpatients F/up S.P. Paediatric</t>
  </si>
  <si>
    <t>Outpatients F/up C.L. Paediatric</t>
  </si>
  <si>
    <t>Outpatients F/up C.L. Surgery</t>
  </si>
  <si>
    <t>Outpatients F/up up S.P. Surgery</t>
  </si>
  <si>
    <t>Outpatients F/up S.P.T &amp; O</t>
  </si>
  <si>
    <t>Osteoporosis Centre</t>
  </si>
  <si>
    <t>Pqct Scan</t>
  </si>
  <si>
    <t xml:space="preserve">Nuclear Medicine </t>
  </si>
  <si>
    <t>Bone Whole Body</t>
  </si>
  <si>
    <t>RA35Z</t>
  </si>
  <si>
    <t>Bone Dynamic</t>
  </si>
  <si>
    <t>RA36Z</t>
  </si>
  <si>
    <t>Brain HMPAO</t>
  </si>
  <si>
    <t>RA37Z</t>
  </si>
  <si>
    <t>Brain DAT</t>
  </si>
  <si>
    <t>RA38Z</t>
  </si>
  <si>
    <t>Cardiac scan</t>
  </si>
  <si>
    <t>RA39Z</t>
  </si>
  <si>
    <t>DMSA</t>
  </si>
  <si>
    <t>Gastric Emptying</t>
  </si>
  <si>
    <t>Lung scan</t>
  </si>
  <si>
    <t>Lymph scan</t>
  </si>
  <si>
    <t>MAG-3</t>
  </si>
  <si>
    <t>Octreotide</t>
  </si>
  <si>
    <t>SeHCAT</t>
  </si>
  <si>
    <t xml:space="preserve">Thyroid scan </t>
  </si>
  <si>
    <t>Thyroid therapy</t>
  </si>
  <si>
    <t>White cell scan</t>
  </si>
  <si>
    <t>Sentinel Imaging external</t>
  </si>
  <si>
    <t>Sentinel SUHT imaging</t>
  </si>
  <si>
    <t>Sentinel SUHT injection/probe</t>
  </si>
  <si>
    <t>Parathyroid</t>
  </si>
  <si>
    <t>mIBG</t>
  </si>
  <si>
    <t>Thyroid post ablation I-131 imaging only</t>
  </si>
  <si>
    <t>Thyroid post ablation I-131 imaging and drink</t>
  </si>
  <si>
    <t>P32</t>
  </si>
  <si>
    <t>Blood Vol</t>
  </si>
  <si>
    <t>GFR</t>
  </si>
  <si>
    <t>Urea</t>
  </si>
  <si>
    <t>Bile Salt deconjugation C14</t>
  </si>
  <si>
    <t>Meckels</t>
  </si>
  <si>
    <t>R&amp;D Overhead (5%)</t>
  </si>
  <si>
    <t>Total Staff costs</t>
  </si>
  <si>
    <t>TOTAL Investigation Price</t>
  </si>
  <si>
    <t>Treatment Type</t>
  </si>
  <si>
    <t>Support Cost</t>
  </si>
  <si>
    <t>Research Cost</t>
  </si>
  <si>
    <t>Excess Treatment Costs</t>
  </si>
  <si>
    <t>Full Study</t>
  </si>
  <si>
    <t>Visit 10</t>
  </si>
  <si>
    <t>Visit 11</t>
  </si>
  <si>
    <t>Visit 12</t>
  </si>
  <si>
    <t>Visit 13</t>
  </si>
  <si>
    <t>Visit 14</t>
  </si>
  <si>
    <t>Visit 15</t>
  </si>
  <si>
    <t>Visit 16</t>
  </si>
  <si>
    <t>Visit 17</t>
  </si>
  <si>
    <t>Visit 18</t>
  </si>
  <si>
    <t>Visit 19</t>
  </si>
  <si>
    <t>Visit 20</t>
  </si>
  <si>
    <t>FOR R &amp; D OFFICE USE:</t>
  </si>
  <si>
    <t>Please sign to confirm all paperwork has been checked for accuracy</t>
  </si>
  <si>
    <t>R&amp;D Ref:</t>
  </si>
  <si>
    <t>RHM</t>
  </si>
  <si>
    <t>Signature:</t>
  </si>
  <si>
    <t>R&amp;D Office</t>
  </si>
  <si>
    <t>Date:</t>
  </si>
  <si>
    <t xml:space="preserve">Print Name </t>
  </si>
  <si>
    <t>NIHR Compliant</t>
  </si>
  <si>
    <t>UKCRC</t>
  </si>
  <si>
    <t>NIHR Non-Compliant</t>
  </si>
  <si>
    <t>1a Funded by NIHR</t>
  </si>
  <si>
    <t>3  Funded by overseas</t>
  </si>
  <si>
    <t xml:space="preserve">    government</t>
  </si>
  <si>
    <t>1b Funded by other Gov. dept.</t>
  </si>
  <si>
    <t>4a Other high quality studies</t>
  </si>
  <si>
    <t>No research costs to SUHT</t>
  </si>
  <si>
    <t xml:space="preserve">     e.g. EORTC</t>
  </si>
  <si>
    <t>1c Funded by NIHR partner</t>
  </si>
  <si>
    <t>4b Collaborative study with</t>
  </si>
  <si>
    <t>Self funded agreed with</t>
  </si>
  <si>
    <t xml:space="preserve">      industry</t>
  </si>
  <si>
    <t>Division</t>
  </si>
  <si>
    <t>1d Support costs only</t>
  </si>
  <si>
    <t>2  Commercial study adopted</t>
  </si>
  <si>
    <t>Research &amp; Excess Treatment Costs</t>
  </si>
  <si>
    <t>Total Per Visit Support Costs</t>
  </si>
  <si>
    <t>Total Per Visit Research Costs</t>
  </si>
  <si>
    <t>Total Per Visit Excess Treatment Costs</t>
  </si>
  <si>
    <t>Recruitment Target Arm 1</t>
  </si>
  <si>
    <t>Total Site Recruitment target</t>
  </si>
  <si>
    <t>Visit 21</t>
  </si>
  <si>
    <t>Visit 22</t>
  </si>
  <si>
    <t>Visit 23</t>
  </si>
  <si>
    <t>Adhoc costs - Requires negotiation with funder</t>
  </si>
  <si>
    <t>Additional Study Activities (all research costs)</t>
  </si>
  <si>
    <t>Study Set-up (all research costs)</t>
  </si>
  <si>
    <t>Additional Costs (all research costs)</t>
  </si>
  <si>
    <t>Dietitian Time</t>
  </si>
  <si>
    <t>Under Review</t>
  </si>
  <si>
    <t>Overheads</t>
  </si>
  <si>
    <t>Yes</t>
  </si>
  <si>
    <t>No</t>
  </si>
  <si>
    <t>Income</t>
  </si>
  <si>
    <t>How much is due?</t>
  </si>
  <si>
    <t>£xxx</t>
  </si>
  <si>
    <t>Who are the funders?</t>
  </si>
  <si>
    <t>NIHR CRN / NIHR Other / Other</t>
  </si>
  <si>
    <t>How is the income received?</t>
  </si>
  <si>
    <t>Invoice / Bank Transfer / Other</t>
  </si>
  <si>
    <t>When is it received?</t>
  </si>
  <si>
    <t>Monthly / Quarterly / Annually / Per patient / Other</t>
  </si>
  <si>
    <t>In advance / In Arrears</t>
  </si>
  <si>
    <t>Details</t>
  </si>
  <si>
    <t>Value</t>
  </si>
  <si>
    <t>Cost centre</t>
  </si>
  <si>
    <t>Expenditure</t>
  </si>
  <si>
    <t>How much expenditure is expected?</t>
  </si>
  <si>
    <t>Staff recharges</t>
  </si>
  <si>
    <t>Pathology</t>
  </si>
  <si>
    <t>CRF</t>
  </si>
  <si>
    <t>Set Up costs</t>
  </si>
  <si>
    <t>Other</t>
  </si>
  <si>
    <t>When is it expected?</t>
  </si>
  <si>
    <t>Budget</t>
  </si>
  <si>
    <t>2016/17</t>
  </si>
  <si>
    <t>2017/18</t>
  </si>
  <si>
    <t>2018/19</t>
  </si>
  <si>
    <t>2019/20</t>
  </si>
  <si>
    <t>2020/21</t>
  </si>
  <si>
    <t>Cost centre &amp; subjective</t>
  </si>
  <si>
    <t>Year 1</t>
  </si>
  <si>
    <t>Year 2</t>
  </si>
  <si>
    <t>Year 3</t>
  </si>
  <si>
    <t>Year 4</t>
  </si>
  <si>
    <t>Year 5</t>
  </si>
  <si>
    <t xml:space="preserve">Income </t>
  </si>
  <si>
    <t>Visit 24</t>
  </si>
  <si>
    <t>Visit 25</t>
  </si>
  <si>
    <t>Visit 26</t>
  </si>
  <si>
    <t>Visit 27</t>
  </si>
  <si>
    <t>Visit 28</t>
  </si>
  <si>
    <t>Visit 29</t>
  </si>
  <si>
    <t>Visit 30</t>
  </si>
  <si>
    <t>Visit 31</t>
  </si>
  <si>
    <t>Visit 32</t>
  </si>
  <si>
    <t>Visit 33</t>
  </si>
  <si>
    <t>Visit 34</t>
  </si>
  <si>
    <t>Visit 35</t>
  </si>
  <si>
    <t>Recruitment Target Arm 2</t>
  </si>
  <si>
    <t>Recruitment Target Arm 3</t>
  </si>
  <si>
    <t>Recruitment Target Arm 4</t>
  </si>
  <si>
    <t>Recruitment Target Arm 5</t>
  </si>
  <si>
    <t>Total Staff Costs</t>
  </si>
  <si>
    <t>Admin time</t>
  </si>
  <si>
    <r>
      <t/>
    </r>
    <r>
      <rPr>
        <sz val="11"/>
        <color rgb="FFFF0000"/>
        <rFont val="Calibri"/>
        <family val="2"/>
        <charset val="0"/>
        <scheme val="minor"/>
      </rPr>
      <t>Monthly</t>
    </r>
    <r>
      <rPr>
        <sz val="10"/>
        <rFont val="Arial"/>
        <family val="2"/>
        <charset val="0"/>
      </rPr>
      <t xml:space="preserve"> / Quarterly / Annually / Other</t>
    </r>
  </si>
  <si>
    <t xml:space="preserve">Position: </t>
  </si>
  <si>
    <t>Clinical Time1 Consultant</t>
  </si>
  <si>
    <t>Clinical Time2 Fellow</t>
  </si>
  <si>
    <t>TOTAL Clinical Time 1 per visit</t>
  </si>
  <si>
    <t>TOTAL Clinical Time 2 per visit</t>
  </si>
  <si>
    <t>Total clinical cost per visit 1</t>
  </si>
  <si>
    <t>Total clinical cost per visit 2</t>
  </si>
  <si>
    <t>Research / Support / Excess Treatment</t>
  </si>
  <si>
    <t>Expenditure to distribute</t>
  </si>
  <si>
    <t>Expenditure to be waived subject to agreement</t>
  </si>
  <si>
    <t>Summary of expenditure</t>
  </si>
  <si>
    <t>Justification for waiving expenditure</t>
  </si>
  <si>
    <t>Y</t>
  </si>
  <si>
    <t>N</t>
  </si>
  <si>
    <t>Clinical Time1</t>
  </si>
  <si>
    <t>Clinical Time2</t>
  </si>
  <si>
    <t>SC</t>
  </si>
  <si>
    <t>ETC</t>
  </si>
  <si>
    <t>Archiving fee (covering preparation and indefinite storage per study)</t>
  </si>
  <si>
    <t>Study details</t>
  </si>
  <si>
    <t>Study Number</t>
  </si>
  <si>
    <t>Study short Name</t>
  </si>
  <si>
    <t>Study Title</t>
  </si>
  <si>
    <t>Lead nurse</t>
  </si>
  <si>
    <t>Duration (months)</t>
  </si>
  <si>
    <t>Target # Patients recruited</t>
  </si>
  <si>
    <t xml:space="preserve">CRN portolio? </t>
  </si>
  <si>
    <t>If yes, CRN portfolio number</t>
  </si>
  <si>
    <t>RBRU study?</t>
  </si>
  <si>
    <t>NBRC study?</t>
  </si>
  <si>
    <t>Surplus/Deficit amount (D)</t>
  </si>
  <si>
    <t>Study costed by:</t>
  </si>
  <si>
    <t>Position</t>
  </si>
  <si>
    <t>Date</t>
  </si>
  <si>
    <t>Finance detail</t>
  </si>
  <si>
    <t>Distribution proposal &amp; justification</t>
  </si>
  <si>
    <t>Cost Item</t>
  </si>
  <si>
    <t>Distribute income to cover cost</t>
  </si>
  <si>
    <t>Justification for distribution / waive</t>
  </si>
  <si>
    <t>Fellow</t>
  </si>
  <si>
    <t>Nurse</t>
  </si>
  <si>
    <t>Opthamology</t>
  </si>
  <si>
    <t>Other Costs</t>
  </si>
  <si>
    <t>Additional Costs</t>
  </si>
  <si>
    <t>Research Costs A</t>
  </si>
  <si>
    <t>Research Costs B</t>
  </si>
  <si>
    <t>Research Cost A</t>
  </si>
  <si>
    <t>Research Cost B</t>
  </si>
  <si>
    <t>Susan Ward</t>
  </si>
  <si>
    <t>Senior Finance Manager</t>
  </si>
  <si>
    <t>Alan Geal</t>
  </si>
  <si>
    <t>Management Accountant</t>
  </si>
  <si>
    <t>Prince Chibwana</t>
  </si>
  <si>
    <t>Senior Management Accountant</t>
  </si>
  <si>
    <t>RCA</t>
  </si>
  <si>
    <t>RCB</t>
  </si>
  <si>
    <t>To calculate budget per category</t>
  </si>
  <si>
    <t>Support Departments</t>
  </si>
  <si>
    <t>Funder</t>
  </si>
  <si>
    <t>Treatment Costs</t>
  </si>
  <si>
    <t>Cost Centre</t>
  </si>
  <si>
    <t>Procedures/ Sendawas</t>
  </si>
  <si>
    <t>Investigations</t>
  </si>
  <si>
    <t>Facilitator:</t>
  </si>
  <si>
    <r>
      <t/>
    </r>
    <r>
      <rPr>
        <b/>
        <sz val="11"/>
        <color theme="1"/>
        <rFont val="Calibri"/>
        <family val="2"/>
        <charset val="0"/>
        <scheme val="minor"/>
      </rPr>
      <t>RHM Study Code</t>
    </r>
    <r>
      <rPr>
        <sz val="10"/>
        <rFont val="Arial"/>
        <family val="2"/>
        <charset val="0"/>
      </rPr>
      <t xml:space="preserve">:                                        </t>
    </r>
  </si>
  <si>
    <t>hours</t>
  </si>
  <si>
    <t>Staff cost/hour</t>
  </si>
  <si>
    <t>Radiology sub dept</t>
  </si>
  <si>
    <t>PAC's image submission &amp; Additional costs</t>
  </si>
  <si>
    <t>Radiology &amp; MRI Physics sub depts</t>
  </si>
  <si>
    <t>Number of Patients</t>
  </si>
  <si>
    <t>Number of procedures</t>
  </si>
  <si>
    <t>Imaging Procedures</t>
  </si>
  <si>
    <t>If AMRC registered body then paid from CRN or RCF</t>
  </si>
  <si>
    <t>if on CRN Portfolio then funded by CRN</t>
  </si>
  <si>
    <t>Only ETC if costs are higher or in excess of Standard care treatment cost</t>
  </si>
  <si>
    <t>Always Zero since it's funded by Commissioner</t>
  </si>
  <si>
    <t>Study CC</t>
  </si>
  <si>
    <t xml:space="preserve">AMRC Member (Funder) </t>
  </si>
  <si>
    <t>Fill out as much information as you can in "Study Information and Rates"</t>
  </si>
  <si>
    <t>"Total Summary and Budget" mostly automated by formulae</t>
  </si>
  <si>
    <t>"Save as" _____________ before editing</t>
  </si>
  <si>
    <r>
      <t xml:space="preserve">Remember: </t>
    </r>
    <r>
      <rPr>
        <sz val="11"/>
        <rFont val="Calibri"/>
        <family val="2"/>
        <charset val="0"/>
      </rPr>
      <t>please fill in cells in column B using the drill down menu for all the rolls that you have used.</t>
    </r>
  </si>
  <si>
    <t>"Additional Study Activities" - this will be used to fill out all one-off costs that don't fit the "per patient" model and don't originate from any of the above support departments</t>
  </si>
  <si>
    <t>If you want to insert a new roll, please either copy the prevoius roll and "insert Copied Cells" on the next line or insert a new roll and copy the previous roll.</t>
  </si>
  <si>
    <t>"Set-up and other costs" - this is pre-populated, only fill out if there are University of Southampton Fees and NIHR WTCRF Fees to be added</t>
  </si>
  <si>
    <t>"Per Patient Arms" - use these to fill in all per patient data from HRA per visit to cature all procedures and investigations</t>
  </si>
  <si>
    <r>
      <t xml:space="preserve">Cells: B2, AU50, AV50, AW50 and AX50, theses are "check cells" if they are </t>
    </r>
    <r>
      <rPr>
        <sz val="11"/>
        <color rgb="FF00B050"/>
        <rFont val="Calibri"/>
        <family val="2"/>
        <charset val="0"/>
        <scheme val="minor"/>
      </rPr>
      <t xml:space="preserve">GREEN, </t>
    </r>
    <r>
      <rPr>
        <sz val="11"/>
        <rFont val="Calibri"/>
        <family val="2"/>
        <charset val="0"/>
      </rPr>
      <t>then your calculation is ok, or if</t>
    </r>
    <r>
      <rPr>
        <sz val="11"/>
        <color rgb="FF00B050"/>
        <rFont val="Calibri"/>
        <family val="2"/>
        <charset val="0"/>
        <scheme val="minor"/>
      </rPr>
      <t xml:space="preserve"> </t>
    </r>
    <r>
      <rPr>
        <sz val="11"/>
        <color rgb="FFFF0000"/>
        <rFont val="Calibri"/>
        <family val="2"/>
        <charset val="0"/>
        <scheme val="minor"/>
      </rPr>
      <t>RED</t>
    </r>
    <r>
      <rPr>
        <sz val="11"/>
        <color rgb="FF00B050"/>
        <rFont val="Calibri"/>
        <family val="2"/>
        <charset val="0"/>
        <scheme val="minor"/>
      </rPr>
      <t xml:space="preserve"> </t>
    </r>
    <r>
      <rPr>
        <sz val="11"/>
        <rFont val="Calibri"/>
        <family val="2"/>
        <charset val="0"/>
      </rPr>
      <t>then you need to check that you have filled out all the manadatory Cells.</t>
    </r>
  </si>
  <si>
    <t xml:space="preserve">When you are filling in the study targets, make sure you are filling in the cell that corresponds to the correct per patient arm., eg "Recruitment Target Arm 1" is for "Per Patient Arm 1" </t>
  </si>
  <si>
    <t>But you need to fill out income details in the "Income Explanation" Box and put the total income figure in Cell C34</t>
  </si>
  <si>
    <t>Total Cost</t>
  </si>
  <si>
    <t>Grant &amp; ETC Income (A)</t>
  </si>
  <si>
    <t>Accord Attribution</t>
  </si>
  <si>
    <r>
      <t xml:space="preserve">All cells in </t>
    </r>
    <r>
      <rPr>
        <sz val="11"/>
        <color theme="6" tint="-0.249977111117893"/>
        <rFont val="Calibri"/>
        <family val="2"/>
        <charset val="0"/>
        <scheme val="minor"/>
      </rPr>
      <t>GREEN</t>
    </r>
    <r>
      <rPr>
        <sz val="11"/>
        <color rgb="FF92D050"/>
        <rFont val="Calibri"/>
        <family val="2"/>
        <charset val="0"/>
        <scheme val="minor"/>
      </rPr>
      <t xml:space="preserve"> </t>
    </r>
    <r>
      <rPr>
        <sz val="11"/>
        <rFont val="Calibri"/>
        <family val="2"/>
        <charset val="0"/>
      </rPr>
      <t>are mandatory</t>
    </r>
  </si>
  <si>
    <t>Additional activities</t>
  </si>
  <si>
    <t>Set up cost</t>
  </si>
  <si>
    <t>Per patient Arm 1</t>
  </si>
  <si>
    <t>Per patient arm 2</t>
  </si>
  <si>
    <t>Per patient Arm 3</t>
  </si>
  <si>
    <t>Per patient Arm 4</t>
  </si>
  <si>
    <t>Per patient Arm 5</t>
  </si>
  <si>
    <r>
      <t xml:space="preserve">"Pathology" - to be filled out by Pathology in the </t>
    </r>
    <r>
      <rPr>
        <sz val="11"/>
        <color rgb="FFFF0000"/>
        <rFont val="Calibri"/>
        <family val="2"/>
        <charset val="0"/>
        <scheme val="minor"/>
      </rPr>
      <t>Pathology Tab</t>
    </r>
  </si>
  <si>
    <r>
      <t xml:space="preserve">"Pharmacy" - to be filled out be Pharmacy in the </t>
    </r>
    <r>
      <rPr>
        <sz val="11"/>
        <color rgb="FFFF0000"/>
        <rFont val="Calibri"/>
        <family val="2"/>
        <charset val="0"/>
        <scheme val="minor"/>
      </rPr>
      <t>Pharmacy Tab</t>
    </r>
  </si>
  <si>
    <r>
      <t xml:space="preserve">"Radiology" - to be filled out by Radiology in the </t>
    </r>
    <r>
      <rPr>
        <sz val="11"/>
        <color rgb="FFFF0000"/>
        <rFont val="Calibri"/>
        <family val="2"/>
        <charset val="0"/>
        <scheme val="minor"/>
      </rPr>
      <t>Radiology Tab</t>
    </r>
  </si>
  <si>
    <r>
      <t xml:space="preserve">Summary tab "A1" should be </t>
    </r>
    <r>
      <rPr>
        <sz val="11"/>
        <color rgb="FF00B050"/>
        <rFont val="Calibri"/>
        <family val="2"/>
        <charset val="0"/>
        <scheme val="minor"/>
      </rPr>
      <t>GREEN</t>
    </r>
    <r>
      <rPr>
        <sz val="10"/>
        <rFont val="Arial"/>
        <family val="2"/>
        <charset val="0"/>
      </rPr>
      <t xml:space="preserve"> and </t>
    </r>
    <r>
      <rPr>
        <sz val="11"/>
        <color rgb="FF00B050"/>
        <rFont val="Calibri"/>
        <family val="2"/>
        <charset val="0"/>
        <scheme val="minor"/>
      </rPr>
      <t xml:space="preserve">True </t>
    </r>
    <r>
      <rPr>
        <sz val="11"/>
        <rFont val="Calibri"/>
        <family val="2"/>
        <charset val="0"/>
      </rPr>
      <t>indicating calculation is correct</t>
    </r>
  </si>
  <si>
    <t xml:space="preserve">Please note that all support departments costs need to be inserted in the correct tab, only CRF, Opthamology and any "Other" costs still remain on the "Investigations section in the "per patient tabs" </t>
  </si>
  <si>
    <t>Service Support Costs</t>
  </si>
  <si>
    <t>Service Support Cost</t>
  </si>
  <si>
    <t>Pathology Costs</t>
  </si>
  <si>
    <t>Radiology Costs</t>
  </si>
  <si>
    <t>Overhead</t>
  </si>
  <si>
    <t>Is Costing correct True/False</t>
  </si>
  <si>
    <t>C1D1</t>
  </si>
  <si>
    <t>C1D8</t>
  </si>
  <si>
    <t>C1D15</t>
  </si>
  <si>
    <t>C2D1</t>
  </si>
  <si>
    <t>c2d8</t>
  </si>
  <si>
    <t>C3D1</t>
  </si>
  <si>
    <t>C3D8</t>
  </si>
  <si>
    <t>C4D1</t>
  </si>
  <si>
    <t>C4D8</t>
  </si>
  <si>
    <t>C5D1</t>
  </si>
  <si>
    <t>C5D8</t>
  </si>
  <si>
    <t>C6D1</t>
  </si>
  <si>
    <t>C6D8</t>
  </si>
  <si>
    <t>EOT</t>
  </si>
  <si>
    <t>FU CALL</t>
  </si>
  <si>
    <t>Survival C</t>
  </si>
  <si>
    <t>PC3</t>
  </si>
  <si>
    <t>PC4</t>
  </si>
  <si>
    <t>PC5</t>
  </si>
  <si>
    <t>Day 4</t>
  </si>
  <si>
    <t>Day 5</t>
  </si>
  <si>
    <t>Day 11</t>
  </si>
  <si>
    <t>Day 12</t>
  </si>
  <si>
    <t>Day 15</t>
  </si>
  <si>
    <t>Day 16</t>
  </si>
  <si>
    <t>Day 17</t>
  </si>
  <si>
    <t>Day 18</t>
  </si>
  <si>
    <t xml:space="preserve">1 week post EOT </t>
  </si>
  <si>
    <t>2 weeks post EOT</t>
  </si>
  <si>
    <t>3 weeks post EOT</t>
  </si>
  <si>
    <t>4 weeks post EOT</t>
  </si>
  <si>
    <t>6 month post start of treatment</t>
  </si>
  <si>
    <t>1 year post start of treatment</t>
  </si>
  <si>
    <t>1.5 yrs post start of treatment</t>
  </si>
  <si>
    <t>2 years post start of treatment</t>
  </si>
  <si>
    <t>2.5 years post start of treatment</t>
  </si>
  <si>
    <t>3 years post start of treatment</t>
  </si>
  <si>
    <t>3.5 years post start of treatment</t>
  </si>
  <si>
    <t>4 years post start of treatment</t>
  </si>
  <si>
    <t>4.5 years post start of treatment</t>
  </si>
  <si>
    <t>5 years post start of treatment</t>
  </si>
  <si>
    <t>VAT</t>
  </si>
  <si>
    <t>Band</t>
  </si>
  <si>
    <t>&gt;</t>
  </si>
  <si>
    <t>&lt;</t>
  </si>
  <si>
    <t>Interventional</t>
  </si>
  <si>
    <t>1:1</t>
  </si>
  <si>
    <t>1:3.5</t>
  </si>
  <si>
    <t>1:11</t>
  </si>
  <si>
    <t>Observational</t>
  </si>
  <si>
    <t>Band 2</t>
  </si>
  <si>
    <t>Band 3</t>
  </si>
  <si>
    <t>Only fill this in if the study is in deficit and you need to consider future income</t>
  </si>
  <si>
    <t>Day -x to -y</t>
  </si>
  <si>
    <t>Day 0</t>
  </si>
  <si>
    <t>Day x</t>
  </si>
  <si>
    <t>Day 2</t>
  </si>
  <si>
    <t>Day 3</t>
  </si>
  <si>
    <t>Day x30</t>
  </si>
  <si>
    <t>Day x60</t>
  </si>
  <si>
    <t>Day x180</t>
  </si>
  <si>
    <t>Additional Staff Costs</t>
  </si>
  <si>
    <t>Adhoc costs</t>
  </si>
  <si>
    <t>17/18</t>
  </si>
  <si>
    <t>18/19</t>
  </si>
  <si>
    <t>Day 1 recovery</t>
  </si>
  <si>
    <t>Discharge</t>
  </si>
  <si>
    <t>Day 30</t>
  </si>
  <si>
    <t>Day 90</t>
  </si>
  <si>
    <t>Day 180</t>
  </si>
  <si>
    <t>Day -1</t>
  </si>
  <si>
    <t>Support Department (Please put down department)</t>
  </si>
  <si>
    <t>Costcentre</t>
  </si>
  <si>
    <t>Other support functions Costs</t>
  </si>
  <si>
    <t>Nurse Team</t>
  </si>
  <si>
    <t>Edward Barton</t>
  </si>
  <si>
    <t>Kanishka De Mel</t>
  </si>
  <si>
    <t>Sultan Hajamaideen</t>
  </si>
  <si>
    <t>Senior Accountant</t>
  </si>
  <si>
    <t>Comments:</t>
  </si>
  <si>
    <t>Income Details</t>
  </si>
  <si>
    <t>Open master template as "Read Only" and "save as" in the study folder</t>
  </si>
  <si>
    <t>Future CRN Income</t>
  </si>
  <si>
    <r>
      <t>For future CRN Income calculation, select Yes in Row B for the Relevant banding and answer will appear in the "</t>
    </r>
    <r>
      <rPr>
        <sz val="10"/>
        <color rgb="FFFFC000"/>
        <rFont val="Arial"/>
        <family val="2"/>
        <charset val="0"/>
      </rPr>
      <t>Yellow</t>
    </r>
    <r>
      <rPr>
        <sz val="10"/>
        <rFont val="Arial"/>
        <family val="2"/>
        <charset val="0"/>
      </rPr>
      <t>" area on the s"Total Summary and Budget" Tab on the relevant banding row, make sure the target recruitment is filled</t>
    </r>
  </si>
  <si>
    <t>Standard Rate</t>
  </si>
  <si>
    <t>Outside the Scope</t>
  </si>
  <si>
    <t>Reduced Rate</t>
  </si>
  <si>
    <t>Zero Rated</t>
  </si>
  <si>
    <t xml:space="preserve">Exempt </t>
  </si>
  <si>
    <t>Waste disposal per bin</t>
  </si>
  <si>
    <t>Relabelling per hour</t>
  </si>
  <si>
    <t>Assessment of protocol/Ph manual or IB  amendment</t>
  </si>
  <si>
    <t>Temperature reporting per hour</t>
  </si>
  <si>
    <t>Shipment receipt</t>
  </si>
  <si>
    <t>Waste disposal management</t>
  </si>
  <si>
    <t>Packing returns to sponsor</t>
  </si>
  <si>
    <t>Storage space per month</t>
  </si>
  <si>
    <t>Monitoring visits</t>
  </si>
  <si>
    <t>IVRS / study specific training</t>
  </si>
  <si>
    <t>Sponsor oversight</t>
  </si>
  <si>
    <t>ETC drugs</t>
  </si>
  <si>
    <t>Number of occasions</t>
  </si>
  <si>
    <t>PLEASE DO NOT REMOVE THESE TASKS - PHARMACY USE ONLY</t>
  </si>
  <si>
    <t xml:space="preserve">Observational &lt;10,000 </t>
  </si>
  <si>
    <t>2019-20</t>
  </si>
  <si>
    <t xml:space="preserve">Observational &gt;10,000  </t>
  </si>
  <si>
    <t xml:space="preserve">Interventional </t>
  </si>
  <si>
    <t>External Collaborators must provide a Financial Breakdown of their costs</t>
  </si>
  <si>
    <t>UHS Finance Contact: ResearchGrants - Researchgrants@uhs.nhs.uk</t>
  </si>
  <si>
    <t>Funding Stream/Call</t>
  </si>
  <si>
    <t>Proposed End Date</t>
  </si>
  <si>
    <t>Proposed Start Date</t>
  </si>
  <si>
    <t>Total numbers of Month(s)</t>
  </si>
  <si>
    <t>Market Forces Factor</t>
  </si>
  <si>
    <t>Costed By</t>
  </si>
  <si>
    <t>Costed Date</t>
  </si>
  <si>
    <t>Only Yes for Investigator-led or Commercial grants</t>
  </si>
  <si>
    <t>Total staff cost</t>
  </si>
  <si>
    <t>Other cost</t>
  </si>
  <si>
    <t>FTE%/hrs p/w</t>
  </si>
  <si>
    <t>Incremental Date</t>
  </si>
  <si>
    <t>Band/Grade point</t>
  </si>
  <si>
    <t>No. of Months</t>
  </si>
  <si>
    <t>Total, £</t>
  </si>
  <si>
    <t xml:space="preserve">Total Research cost </t>
  </si>
  <si>
    <t>Cost attribution (select from dop down)</t>
  </si>
  <si>
    <t>Gross Pay</t>
  </si>
  <si>
    <t>NI</t>
  </si>
  <si>
    <t>Pension</t>
  </si>
  <si>
    <t>Apprentice levy</t>
  </si>
  <si>
    <t>Principal Investigator</t>
  </si>
  <si>
    <t>Nursing Team</t>
  </si>
  <si>
    <t>FTE%/Hrs p/w</t>
  </si>
  <si>
    <t xml:space="preserve"> </t>
  </si>
  <si>
    <t>Cardiology Nurses</t>
  </si>
  <si>
    <t>Cancer Nurses</t>
  </si>
  <si>
    <t>R&amp;D Research Nurses</t>
  </si>
  <si>
    <t>Respiratory BRU</t>
  </si>
  <si>
    <t>Health Protection Agency Labs</t>
  </si>
  <si>
    <t>Nuclear Medicine</t>
  </si>
  <si>
    <t xml:space="preserve">Tissue Bank </t>
  </si>
  <si>
    <t xml:space="preserve">Non-invasive Cardiology </t>
  </si>
  <si>
    <t>Medical Physics</t>
  </si>
  <si>
    <t>Princess Anne Involvement</t>
  </si>
  <si>
    <t>Sample storage</t>
  </si>
  <si>
    <t>WISH Labroratory</t>
  </si>
  <si>
    <t>Others</t>
  </si>
  <si>
    <t>Post (e.g. Academic Research Fellow)</t>
  </si>
  <si>
    <t>FTE%, or hrs/week</t>
  </si>
  <si>
    <t>Statisticians</t>
  </si>
  <si>
    <t>Administrator</t>
  </si>
  <si>
    <t>Data Manager</t>
  </si>
  <si>
    <t>EQUIPMENT:</t>
  </si>
  <si>
    <t>Database</t>
  </si>
  <si>
    <t>CONSUMABLES &amp; MATERIALS:</t>
  </si>
  <si>
    <t>Drug Costs</t>
  </si>
  <si>
    <t>TRAVEL &amp; SUBSISTENCE:</t>
  </si>
  <si>
    <t>Patient Travel</t>
  </si>
  <si>
    <t>conference (UK)</t>
  </si>
  <si>
    <t>conference (EUrope)</t>
  </si>
  <si>
    <t>courses</t>
  </si>
  <si>
    <t>Other Support Departments</t>
  </si>
  <si>
    <t>Other Support Department</t>
  </si>
  <si>
    <t>Explain the procedure, Number of participants for listed procedure and number of times procedure will be taking place</t>
  </si>
  <si>
    <t>Name of Dept.</t>
  </si>
  <si>
    <t>Total service support cost</t>
  </si>
  <si>
    <t>Total treatment cost</t>
  </si>
  <si>
    <t>Total Research cost A</t>
  </si>
  <si>
    <t>Total Research cost B</t>
  </si>
  <si>
    <t>Investigator Led</t>
  </si>
  <si>
    <t xml:space="preserve">Non-Invest. Led </t>
  </si>
  <si>
    <t>MFF</t>
  </si>
  <si>
    <t>Total Price</t>
  </si>
  <si>
    <t>TOTAL Staff Price + mff</t>
  </si>
  <si>
    <t>Outcome Date</t>
  </si>
  <si>
    <t>Study/Nursing team involved in the study</t>
  </si>
  <si>
    <t>e.g Paediatric CRF nurses, Cancer nurses, Opthalmology nursung team etc</t>
  </si>
  <si>
    <t>CO-I 1</t>
  </si>
  <si>
    <t>CO-I 2</t>
  </si>
  <si>
    <t>Directly Incurred Staff  Directly employed researchers</t>
  </si>
  <si>
    <t xml:space="preserve">Directly Incurred non-Staff  </t>
  </si>
  <si>
    <t xml:space="preserve"> Finance team only</t>
  </si>
  <si>
    <t>Support department required - Please separate with commas</t>
  </si>
  <si>
    <t>Website link to Funding Stream/Call</t>
  </si>
  <si>
    <r>
      <t/>
    </r>
    <r>
      <rPr>
        <b/>
        <sz val="10"/>
        <rFont val="Calibri"/>
        <family val="2"/>
        <charset val="0"/>
        <scheme val="minor"/>
      </rPr>
      <t xml:space="preserve">Is the funder a member of </t>
    </r>
    <r>
      <rPr>
        <b/>
        <u val="single"/>
        <sz val="10"/>
        <color theme="5"/>
        <rFont val="Calibri"/>
        <family val="2"/>
        <charset val="0"/>
        <scheme val="minor"/>
      </rPr>
      <t xml:space="preserve">Association of Medical Research Charities (AMRC) </t>
    </r>
  </si>
  <si>
    <t xml:space="preserve">UKCRN Portfolio </t>
  </si>
  <si>
    <t>IT IS MANDATORY TO COMPLETE THE GREEN SECTION ONLY</t>
  </si>
  <si>
    <t>NHS Finance summary</t>
  </si>
  <si>
    <t>Directly Incurred</t>
  </si>
  <si>
    <t>Directly Allocated</t>
  </si>
  <si>
    <t>Other Directly Allocated</t>
  </si>
  <si>
    <t>Indirect costs</t>
  </si>
  <si>
    <t>Non-Staff</t>
  </si>
  <si>
    <t xml:space="preserve">Indirect costs </t>
  </si>
  <si>
    <t>NIHR CRF</t>
  </si>
  <si>
    <t>e.g. imaging, radiology, pathology, pharmacy, CRF</t>
  </si>
  <si>
    <t>Submission Deadline Date</t>
  </si>
  <si>
    <t xml:space="preserve">Total required from funder </t>
  </si>
  <si>
    <t>mff added for inv-Led studies</t>
  </si>
  <si>
    <t xml:space="preserve">Directly Incurred Staff </t>
  </si>
  <si>
    <t>Cost computation</t>
  </si>
  <si>
    <t>Total Research Cost expected from funder</t>
  </si>
  <si>
    <t>Total Cost + mff</t>
  </si>
  <si>
    <t>Cost in Year 1</t>
  </si>
  <si>
    <t>Cost in Year 2</t>
  </si>
  <si>
    <t>Cost in Year 3</t>
  </si>
  <si>
    <t>Cost in Year 4</t>
  </si>
  <si>
    <t>Cost in Year 5</t>
  </si>
  <si>
    <t>Cost in Year 6</t>
  </si>
  <si>
    <t>Cost in Year 7</t>
  </si>
  <si>
    <t>Role</t>
  </si>
  <si>
    <t>Specify if other support function</t>
  </si>
  <si>
    <t>TOTAL Reasearch cost for  Per Patient - Staff time, Lab investigations</t>
  </si>
  <si>
    <t>Price + mff if applicable</t>
  </si>
  <si>
    <t>Reviewed by</t>
  </si>
  <si>
    <r>
      <t xml:space="preserve">Application Type - For 2 stage application, select </t>
    </r>
    <r>
      <rPr>
        <b/>
        <sz val="10"/>
        <color rgb="FFFF0000"/>
        <rFont val="Calibri"/>
        <family val="2"/>
        <charset val="0"/>
        <scheme val="minor"/>
      </rPr>
      <t>EOI</t>
    </r>
    <r>
      <rPr>
        <b/>
        <sz val="10"/>
        <color indexed="8"/>
        <rFont val="Calibri"/>
        <family val="2"/>
        <charset val="0"/>
      </rPr>
      <t xml:space="preserve"> </t>
    </r>
    <r>
      <rPr>
        <b/>
        <sz val="10"/>
        <color rgb="FFFF0000"/>
        <rFont val="Calibri"/>
        <family val="2"/>
        <charset val="0"/>
        <scheme val="minor"/>
      </rPr>
      <t>or Outline</t>
    </r>
    <r>
      <rPr>
        <b/>
        <sz val="10"/>
        <color indexed="8"/>
        <rFont val="Calibri"/>
        <family val="2"/>
        <charset val="0"/>
      </rPr>
      <t xml:space="preserve"> for stage 1 or </t>
    </r>
    <r>
      <rPr>
        <b/>
        <sz val="10"/>
        <color rgb="FFFF0000"/>
        <rFont val="Calibri"/>
        <family val="2"/>
        <charset val="0"/>
        <scheme val="minor"/>
      </rPr>
      <t>full</t>
    </r>
    <r>
      <rPr>
        <b/>
        <sz val="10"/>
        <color indexed="8"/>
        <rFont val="Calibri"/>
        <family val="2"/>
        <charset val="0"/>
      </rPr>
      <t xml:space="preserve"> for stage 2.  For only 1 stage application select </t>
    </r>
    <r>
      <rPr>
        <b/>
        <sz val="10"/>
        <color rgb="FFFF0000"/>
        <rFont val="Calibri"/>
        <family val="2"/>
        <charset val="0"/>
        <scheme val="minor"/>
      </rPr>
      <t>Full 1 stage</t>
    </r>
  </si>
  <si>
    <t>BMA Fellow rate (top specialist reg full + employer costs 25%)</t>
  </si>
  <si>
    <t>1 per patient</t>
  </si>
  <si>
    <t>1hr per year of study open</t>
  </si>
  <si>
    <t>3hrs per year of open study</t>
  </si>
  <si>
    <t>1 per month of open study</t>
  </si>
  <si>
    <t>1 per IMP delivery</t>
  </si>
  <si>
    <t>1 per IMP destruction</t>
  </si>
  <si>
    <t>1 per return to sponsor</t>
  </si>
  <si>
    <t>1 per monitoring visit</t>
  </si>
  <si>
    <t>Pharmacy set up type A</t>
  </si>
  <si>
    <t>Pharmacy set up type B</t>
  </si>
  <si>
    <t>Pharmacy set up type C</t>
  </si>
  <si>
    <t>IMP management fee per annum (1 year)</t>
  </si>
  <si>
    <t>Are you costing for all sites</t>
  </si>
  <si>
    <t>Total number of SITES</t>
  </si>
  <si>
    <t>Cost in Year 8</t>
  </si>
  <si>
    <t>Cost Per participant</t>
  </si>
  <si>
    <t>Number of Visit</t>
  </si>
  <si>
    <t>Directly  Allocated Staff (Pi's, CO I's ETC)</t>
  </si>
  <si>
    <t>Name of the Institution</t>
  </si>
  <si>
    <t>cost</t>
  </si>
  <si>
    <t>Overheads should be apply only to Investigator-led grants, Research council and any funder which it is applicable. Non comm funders such as NIHR, charities are excempt</t>
  </si>
  <si>
    <t>Total cost on per-patient tab already included in B13 total</t>
  </si>
  <si>
    <t xml:space="preserve">Support Costs (Core funded costs) </t>
  </si>
  <si>
    <t>Research Cost A (to be funded by grant)</t>
  </si>
  <si>
    <t xml:space="preserve">Research Cost B </t>
  </si>
  <si>
    <t>Treatment Costs (Funded by Commissioners)</t>
  </si>
  <si>
    <t>Excess Treatment Costs (request funding from CRN if over £1K)</t>
  </si>
  <si>
    <t>Per hour</t>
  </si>
  <si>
    <t>Per Day</t>
  </si>
  <si>
    <t>Transportation &amp; Subsistance</t>
  </si>
  <si>
    <t>Dissemination - Open Access</t>
  </si>
  <si>
    <t>£2,000 - £4,000</t>
  </si>
  <si>
    <t>Variable - Ask PI</t>
  </si>
  <si>
    <t>Conference costs</t>
  </si>
  <si>
    <t>Train cost</t>
  </si>
  <si>
    <t>Hotel Costs</t>
  </si>
  <si>
    <t>Mileage</t>
  </si>
  <si>
    <t>£0.56p per mile</t>
  </si>
  <si>
    <t>Subsistance at conference per day</t>
  </si>
  <si>
    <t>PPI Costs (All costings that UHS is the lead)</t>
  </si>
  <si>
    <t>Dissemination Costs  (All costings that UHS is the lead)</t>
  </si>
  <si>
    <t>Other institutions cost</t>
  </si>
  <si>
    <t>Totals UHS cost</t>
  </si>
  <si>
    <t>Other Institutions cost</t>
  </si>
  <si>
    <t>Total Project cost</t>
  </si>
  <si>
    <t>Dissemination cost</t>
  </si>
  <si>
    <t>Alternatively you can google distance for flights , train, taxi (public transportation ), estimates can be gotten online. For personal vehicles, millage can be checked on google and muliplied by the standard mNHS milleage blow</t>
  </si>
  <si>
    <t>check hotel online, alternatively a rate between £60 to £100 per day could be applied. Note meals should be computted at £20 daily</t>
  </si>
  <si>
    <t>These are average costs, please note:</t>
  </si>
  <si>
    <t>* may involve any number of iterations and therefore take longer than time in column “basis for cost”.</t>
  </si>
  <si>
    <t># may take longer for complex studies and especially for paediatric studies.</t>
  </si>
  <si>
    <t>Cost</t>
  </si>
  <si>
    <t>Unit</t>
  </si>
  <si>
    <t>Basis for cost</t>
  </si>
  <si>
    <t>Contracts and Grants Team</t>
  </si>
  <si>
    <t>Contract Management – clinical trial agreement/funding agreement</t>
  </si>
  <si>
    <t>Per agreement</t>
  </si>
  <si>
    <t>Band 8b Senior Contract Manager</t>
  </si>
  <si>
    <t>(drafting, reviewing renegotiation, amendments*)</t>
  </si>
  <si>
    <t>10 days</t>
  </si>
  <si>
    <t>Contract Management – drug supply agreement, subcontracts, collaboration agreements, grant award contracts/letters</t>
  </si>
  <si>
    <t>(drafting, reviewing, renegotiation, amendments*)</t>
  </si>
  <si>
    <t>5 days</t>
  </si>
  <si>
    <t>Contract Management – site agreements (review, amendments)</t>
  </si>
  <si>
    <t>Per site</t>
  </si>
  <si>
    <t>Band 7 Contract Manager</t>
  </si>
  <si>
    <t xml:space="preserve"> ½ day</t>
  </si>
  <si>
    <t>Financial Management – costings and adjustments to costing *</t>
  </si>
  <si>
    <t>Single (upfront)</t>
  </si>
  <si>
    <t>Band 6 Grants Accountant/Grants Facilitator</t>
  </si>
  <si>
    <t>5-10 days</t>
  </si>
  <si>
    <t>Financial Management – budget management, invoicing, reporting</t>
  </si>
  <si>
    <t>Per year</t>
  </si>
  <si>
    <t>Band 6 Grants Accountant</t>
  </si>
  <si>
    <t>Grant Management- assistance with grant application submission and advice</t>
  </si>
  <si>
    <t>Single</t>
  </si>
  <si>
    <t>Band 7 Grants Manager</t>
  </si>
  <si>
    <t>2 days</t>
  </si>
  <si>
    <t>Sponsorship Team –  Study Management</t>
  </si>
  <si>
    <t>Green Light approval – MHRA approved study (site assessment and set up)</t>
  </si>
  <si>
    <t>Band 6 Clinical Trial Project Manager</t>
  </si>
  <si>
    <t>2 hours</t>
  </si>
  <si>
    <t>Green light approval – non-MHRA (site assessment and set up)</t>
  </si>
  <si>
    <t>1 hour</t>
  </si>
  <si>
    <t>SIV – MHRA approved study</t>
  </si>
  <si>
    <t>1 day plus travel</t>
  </si>
  <si>
    <t>SIV – non-MHRA study</t>
  </si>
  <si>
    <t>½  day plus travel</t>
  </si>
  <si>
    <t>Close out</t>
  </si>
  <si>
    <t>Per Site</t>
  </si>
  <si>
    <t>Sponsorship Team - Regulatory Preparation #</t>
  </si>
  <si>
    <t>Sponsorship review of documents and regulatory submission – MHRA approved study</t>
  </si>
  <si>
    <t>Sponsorship review of documents and regulatory submission – non-MHRA study</t>
  </si>
  <si>
    <t>Pharmacy technical review #</t>
  </si>
  <si>
    <t>Per reviewer</t>
  </si>
  <si>
    <t>Band 7 Pharmacist/technician</t>
  </si>
  <si>
    <t>Pharmacy specific sponsor review #</t>
  </si>
  <si>
    <t>Radiology technical review #</t>
  </si>
  <si>
    <t>Band 7 radiologist</t>
  </si>
  <si>
    <t>Amendments to HRA And MHRA approvals</t>
  </si>
  <si>
    <t>Per amendment</t>
  </si>
  <si>
    <t>Band 6 Clinical Trial Project manager</t>
  </si>
  <si>
    <t>3 hours</t>
  </si>
  <si>
    <t>Amendments to HRA and Non-MHRA approvals</t>
  </si>
  <si>
    <t>Sponsorship Team - Compliance for MHRA approved study #</t>
  </si>
  <si>
    <t>Risk Proportionate monitoring</t>
  </si>
  <si>
    <t>Per site per year</t>
  </si>
  <si>
    <t>Band 6 Clinical Trial Project manager or designated  monitor</t>
  </si>
  <si>
    <t>3 days</t>
  </si>
  <si>
    <t>Emergency contact</t>
  </si>
  <si>
    <t>Safety and compliance reporting</t>
  </si>
  <si>
    <t>Sponsorship Team - Compliance for non- MHRA study #</t>
  </si>
  <si>
    <t>2 day</t>
  </si>
  <si>
    <t>Sponsorship team – other R&amp;D costs</t>
  </si>
  <si>
    <t>Archiving</t>
  </si>
  <si>
    <t>Per box  each 5 year period</t>
  </si>
  <si>
    <t>MHRA (CTIMP) Initial Application Fee – Higher Fee (Phase 1 Full &amp; Simplified IMPD)</t>
  </si>
  <si>
    <t>On Application</t>
  </si>
  <si>
    <t>Pass through cost</t>
  </si>
  <si>
    <t>MHRA (CTIMP) Initial Application Fee – Lower Fee (Phase IV (Type A)</t>
  </si>
  <si>
    <t>MHRA (CTIMP) amendment Fee</t>
  </si>
  <si>
    <t>MHRA (Medical Device) – Class 1, 11a or 11b</t>
  </si>
  <si>
    <t>On application</t>
  </si>
  <si>
    <t>MHRA (Medical Device) – Class 1, 11a or 11b (amendment)</t>
  </si>
  <si>
    <t>MHRA (Medical Device) – Class 11b implantable or long term invasive, Class III, and active implantable devices</t>
  </si>
  <si>
    <t>MHRA (Medical Device) – Class 11b implantable or long term invasive, Class III, and active implantable devices (amendment)</t>
  </si>
  <si>
    <t>ARSAC  - multi-centre studies</t>
  </si>
  <si>
    <t>ARSAC – single-centre studies</t>
  </si>
  <si>
    <t>ARSAC – low dose studies (&lt;1mSV total participant dose</t>
  </si>
  <si>
    <t>ARSAC amendments</t>
  </si>
  <si>
    <t>Trial Registration fees (ISCRTN)</t>
  </si>
  <si>
    <t>Download the Schedule of Events Cost Attribution Tool A (SoECAT)</t>
  </si>
  <si>
    <t>Download the Schedule of Events Cost Attribution Tool B (SoECAT)</t>
  </si>
  <si>
    <t>https://www.nihr.ac.uk/documents/researchers/collaborations-services-and-support-for-your-research/run-your-study/excess-treatment-costs/SoECAT%20Tool%20A.xlsx</t>
  </si>
  <si>
    <t>https://www.nihr.ac.uk/documents/researchers/collaborations-services-and-support-for-your-research/run-your-study/excess-treatment-costs/SoECAT%20Tool%20B.xlsx</t>
  </si>
  <si>
    <t>Insert number of participants for this arm</t>
  </si>
  <si>
    <t>Totals cost</t>
  </si>
  <si>
    <t>Total funded cost</t>
  </si>
  <si>
    <t>e.g See CTU tab for breakdown</t>
  </si>
  <si>
    <r>
      <t xml:space="preserve">Other insitutions cost </t>
    </r>
    <r>
      <rPr>
        <b/>
        <sz val="10"/>
        <color rgb="FFFF0000"/>
        <rFont val="Arial"/>
        <family val="2"/>
        <charset val="0"/>
      </rPr>
      <t>(find breakdown on UHS individual cost tab)</t>
    </r>
  </si>
  <si>
    <r>
      <t>OTHER COSTS:</t>
    </r>
    <r>
      <rPr>
        <b/>
        <sz val="11"/>
        <color rgb="FFFF0000"/>
        <rFont val="Calibri"/>
        <family val="2"/>
        <charset val="0"/>
        <scheme val="minor"/>
      </rPr>
      <t xml:space="preserve"> (For more information on PPI cost, please check PPI tab)</t>
    </r>
  </si>
  <si>
    <r>
      <t>PPI staff time to organise meeting (~10hrs) for 12 meetings through the project</t>
    </r>
    <r>
      <rPr>
        <sz val="14"/>
        <color rgb="FFFF0000"/>
        <rFont val="Calibri"/>
        <family val="2"/>
        <charset val="0"/>
        <scheme val="minor"/>
      </rPr>
      <t>*</t>
    </r>
  </si>
  <si>
    <r>
      <t>8 Online meeting (</t>
    </r>
    <r>
      <rPr>
        <b/>
        <sz val="14"/>
        <color theme="1"/>
        <rFont val="Calibri"/>
        <family val="2"/>
        <charset val="0"/>
        <scheme val="minor"/>
      </rPr>
      <t>1.5hr</t>
    </r>
    <r>
      <rPr>
        <sz val="14"/>
        <color theme="1"/>
        <rFont val="Calibri"/>
        <family val="2"/>
        <charset val="0"/>
        <scheme val="minor"/>
      </rPr>
      <t xml:space="preserve">) with </t>
    </r>
    <r>
      <rPr>
        <b/>
        <sz val="14"/>
        <color rgb="FFFF0000"/>
        <rFont val="Calibri"/>
        <family val="2"/>
        <charset val="0"/>
        <scheme val="minor"/>
      </rPr>
      <t>4 PPIs</t>
    </r>
  </si>
  <si>
    <r>
      <t>4 Face-to-face meeting (</t>
    </r>
    <r>
      <rPr>
        <b/>
        <sz val="14"/>
        <color theme="1"/>
        <rFont val="Calibri"/>
        <family val="2"/>
        <charset val="0"/>
        <scheme val="minor"/>
      </rPr>
      <t>1.5hr</t>
    </r>
    <r>
      <rPr>
        <sz val="14"/>
        <color theme="1"/>
        <rFont val="Calibri"/>
        <family val="2"/>
        <charset val="0"/>
        <scheme val="minor"/>
      </rPr>
      <t>) with 4</t>
    </r>
    <r>
      <rPr>
        <b/>
        <sz val="14"/>
        <color rgb="FFFF0000"/>
        <rFont val="Calibri"/>
        <family val="2"/>
        <charset val="0"/>
        <scheme val="minor"/>
      </rPr>
      <t xml:space="preserve"> PPIs</t>
    </r>
  </si>
  <si>
    <r>
      <t xml:space="preserve">PPI Staff time(NHS Band 5-  £ 12.74/hr) </t>
    </r>
    <r>
      <rPr>
        <sz val="14"/>
        <color rgb="FFFF0000"/>
        <rFont val="Calibri"/>
        <family val="2"/>
        <charset val="0"/>
        <scheme val="minor"/>
      </rPr>
      <t>ref. a</t>
    </r>
  </si>
  <si>
    <t>PPI contributor's time/hr (based on UHS payment policy)</t>
  </si>
  <si>
    <r>
      <t>NIHR CED remote working fee (</t>
    </r>
    <r>
      <rPr>
        <sz val="14"/>
        <color rgb="FFFF0000"/>
        <rFont val="Calibri"/>
        <family val="2"/>
        <charset val="0"/>
        <scheme val="minor"/>
      </rPr>
      <t>ref. b</t>
    </r>
    <r>
      <rPr>
        <sz val="14"/>
        <color theme="1"/>
        <rFont val="Calibri"/>
        <family val="2"/>
        <charset val="0"/>
        <scheme val="minor"/>
      </rPr>
      <t>)</t>
    </r>
  </si>
  <si>
    <t>Mileage per person  (56p/mile;parking ticket, bus, train ticket)</t>
  </si>
  <si>
    <t>Catering (tea, coffee, pastries)</t>
  </si>
  <si>
    <t>Stationery, materials for meeting</t>
  </si>
  <si>
    <t>Total cost for the duration of the project</t>
  </si>
  <si>
    <t>PPI office (Organising meetings and attending meetings)</t>
  </si>
  <si>
    <t>PPI representatives' attendance</t>
  </si>
  <si>
    <t>https://www.nhsemployers.org/pay-pensions-and-reward/agenda-for-change/pay-scales/hourly</t>
  </si>
  <si>
    <t>https://www.nihr.ac.uk/documents/centre-for-engagement-and-dissemination-recognition-payments-for-public-contributors/24979#Remote_working_costs</t>
  </si>
  <si>
    <t>10 hours of staff time include- sorting out invitations, confirming attendance, facilitating meeting, writing up notes, processing paper work and expense forms post meeting</t>
  </si>
  <si>
    <r>
      <t>Lead/Host Institution</t>
    </r>
    <r>
      <rPr>
        <b/>
        <sz val="10"/>
        <color rgb="FFFF0000"/>
        <rFont val="Calibri"/>
        <family val="2"/>
        <charset val="0"/>
        <scheme val="minor"/>
      </rPr>
      <t xml:space="preserve"> (Sponsor Organisation)</t>
    </r>
  </si>
  <si>
    <r>
      <t>PLEASE INFORM THE PI TO CONTACT THE PPI TEAM (CAROLINE BARKER - Public Involvement  -&lt;PublicInvolvement@uhs.nhs.uk&gt; TO PROVIDE COST (</t>
    </r>
    <r>
      <rPr>
        <b/>
        <sz val="12"/>
        <color rgb="FFFF0000"/>
        <rFont val="Arial"/>
        <family val="2"/>
        <charset val="0"/>
      </rPr>
      <t>NOTE, info below is just for guidance</t>
    </r>
    <r>
      <rPr>
        <b/>
        <sz val="12"/>
        <rFont val="Arial"/>
        <family val="2"/>
        <charset val="0"/>
      </rPr>
      <t xml:space="preserve"> )</t>
    </r>
  </si>
  <si>
    <t>Name if Known otherwise use TBD(to be decided)</t>
  </si>
  <si>
    <t>R&amp;D Set-up and Mgt. fee</t>
  </si>
  <si>
    <t>Note/ Description of cost</t>
  </si>
  <si>
    <t>NOTE</t>
  </si>
  <si>
    <t>Indirect cost e.g (overheads)</t>
  </si>
  <si>
    <t>UHS individual cost overhead</t>
  </si>
  <si>
    <t>Applicant's Specialty Area and Division</t>
  </si>
  <si>
    <t>e.g Medicine/Div B, Oncology/Div A,  etc</t>
  </si>
  <si>
    <t>Should not be included in studies that the UHS is claiming for sponsorship cost and personal awards. Also if the R&amp;D Overheads amount is less tha 5k, then template will automatically include 500. But if more than 5k the R&amp;D setup will be 0</t>
  </si>
  <si>
    <t>Insert Sponsorship fee here</t>
  </si>
  <si>
    <t>Trial/ Project Manager</t>
  </si>
  <si>
    <t>Sponsorship in Principle form Completed (Please add note if form not applicable)</t>
  </si>
  <si>
    <t xml:space="preserve">Researchers applying for non-commercial research grants involving NHS resources (patients, staff, equipment and facilities) may be required to complete a SoECAT form - please check your grant requirements.
</t>
  </si>
  <si>
    <t>*Breakdown of yearly salary, including on costs. Increment taken into account if appropriate*</t>
  </si>
  <si>
    <t>Nurse (band 6)</t>
  </si>
  <si>
    <t>Admin
(band 5)</t>
  </si>
  <si>
    <t>Project manager (band 7)</t>
  </si>
  <si>
    <t>£25 per hour session per participant and £5 per person for online access</t>
  </si>
  <si>
    <t>Ophthalmology</t>
  </si>
  <si>
    <t>Sponsorship Fee or R&amp;D management fee, as applicable</t>
  </si>
  <si>
    <t>Costs provided by</t>
  </si>
  <si>
    <t>Tab completed by</t>
  </si>
  <si>
    <t>Fees to be determined by sponsorship team</t>
  </si>
  <si>
    <t>Lead Applicant +
Lead applicant email address</t>
  </si>
  <si>
    <t>Local PI if applicable +
Local PI email address</t>
  </si>
  <si>
    <t>Exchange rate</t>
  </si>
  <si>
    <t>Date of Calculation</t>
  </si>
  <si>
    <t>ensure pass through costs are included in study research costs and applied for in the grant</t>
  </si>
  <si>
    <t>PASS THROUGH COSTS ARE NON-NEGOTIABLE RESEARCH COST AND SHOULD BE INCLUDED IN ADDITIONAL STUDY ACTIVITIES</t>
  </si>
  <si>
    <t>£570 per box/5 yrs if not already within pass through costs</t>
  </si>
  <si>
    <t xml:space="preserve">SPONSORSHIP COST BREAKDOWN </t>
  </si>
  <si>
    <r>
      <t xml:space="preserve">NB: sponsor costs are NOT be added to NIHR, MRC, Personal Awards and Charity grants (External organisation, such as the EU, NIH will be charged for the sponsorship fee even though they are non commercial organisation. The sponsorship fee </t>
    </r>
    <r>
      <rPr>
        <b/>
        <u val="single"/>
        <sz val="10"/>
        <color rgb="FFFF0000"/>
        <rFont val="Calibri"/>
        <family val="2"/>
        <charset val="0"/>
      </rPr>
      <t xml:space="preserve">should apply to all investigator-led and commercial funders, including educational awards, </t>
    </r>
    <r>
      <rPr>
        <b/>
        <sz val="10"/>
        <color rgb="FFFF0000"/>
        <rFont val="Calibri"/>
        <family val="2"/>
        <charset val="0"/>
        <scheme val="minor"/>
      </rPr>
      <t>where the UHS is the sponsor
Pass through costs are applied to all funding applications</t>
    </r>
  </si>
  <si>
    <t>2023/24 rates</t>
  </si>
  <si>
    <t>Pay rates as per 23/24 agreed pay schedules for Medics and AFC (agenda for Change) plus oncosts, and Pay &amp; Condition Circular MD-4/2023</t>
  </si>
  <si>
    <t xml:space="preserve"> INCLUDE VAT IN QUOTES FROM EXTERNAL SUPPLIERS including UOS</t>
  </si>
  <si>
    <t>R&amp;D: ENSURE ANY CHANGES TO TAB NAMES ARE CORRECTLY PICKED UP IN SUMMARY TAB FORMULAE</t>
  </si>
  <si>
    <t>BMA Consultant rate (top + employer costs 25%) - April 2024 rates</t>
  </si>
  <si>
    <t xml:space="preserve">revised consultant rate - v18 17/05/2024 </t>
  </si>
</sst>
</file>

<file path=xl/styles.xml><?xml version="1.0" encoding="utf-8"?>
<styleSheet xmlns:mc="http://schemas.openxmlformats.org/markup-compatibility/2006" xmlns:x14ac="http://schemas.microsoft.com/office/spreadsheetml/2009/9/ac" xmlns="http://schemas.openxmlformats.org/spreadsheetml/2006/main" mc:Ignorable="x14ac">
  <numFmts count="20">
    <numFmt numFmtId="6" formatCode="&quot;£&quot;#,##0;[Red]\-&quot;£&quot;#,##0"/>
    <numFmt numFmtId="7" formatCode="&quot;£&quot;#,##0.00;\-&quot;£&quot;#,##0.00"/>
    <numFmt numFmtId="8" formatCode="&quot;£&quot;#,##0.00;[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Red]_-&quot;£&quot;* #,##0.00_-;\-&quot;£&quot;* #,##0.00_-;_-&quot;£&quot;* &quot;-&quot;??_-;_-@_-"/>
    <numFmt numFmtId="165" formatCode="_-&quot;£&quot;* #,##0.00_-;&quot;£&quot;* \(#,##0.00\)_-;_-&quot;£&quot;* &quot;-&quot;??_-;_-@_-"/>
    <numFmt numFmtId="166" formatCode="0.000"/>
    <numFmt numFmtId="167" formatCode="0.0%"/>
    <numFmt numFmtId="168" formatCode="#,##0_ ;\-#,##0\ "/>
    <numFmt numFmtId="169" formatCode="&quot;£&quot;#,##0.00"/>
    <numFmt numFmtId="170" formatCode="#,##0;[Red]\(#,##0\)"/>
    <numFmt numFmtId="171" formatCode="#,##0.00;[Red]\(#,##0.00\)"/>
    <numFmt numFmtId="172" formatCode="#,##0.00_ ;[Red]\-#,##0.00\ "/>
    <numFmt numFmtId="173" formatCode="_-* #,##0_-;\-* #,##0_-;_-* &quot;-&quot;??_-;_-@_-"/>
    <numFmt numFmtId="174" formatCode="_-* #,##0.00_-;\-* #,##0.00_-;_-* \-??_-;_-@_-"/>
    <numFmt numFmtId="175" formatCode="_-[$£-809]* #,##0.00_-;\-[$£-809]* #,##0.00_-;_-[$£-809]* &quot;-&quot;??_-;_-@_-"/>
    <numFmt numFmtId="176" formatCode="&quot;£&quot;#,##0"/>
  </numFmts>
  <fonts count="110">
    <font>
      <sz val="10"/>
      <name val="Arial"/>
      <charset val="0"/>
    </font>
    <font>
      <sz val="11"/>
      <color theme="1"/>
      <name val="Calibri"/>
      <family val="2"/>
      <charset val="0"/>
      <scheme val="minor"/>
    </font>
    <font>
      <sz val="10"/>
      <name val="Calibri"/>
      <family val="2"/>
      <charset val="0"/>
    </font>
    <font>
      <sz val="10"/>
      <color indexed="8"/>
      <name val="Calibri"/>
      <family val="2"/>
      <charset val="0"/>
    </font>
    <font>
      <sz val="10"/>
      <name val="Arial"/>
      <charset val="0"/>
    </font>
    <font>
      <b/>
      <sz val="10"/>
      <color indexed="8"/>
      <name val="Calibri"/>
      <family val="2"/>
      <charset val="0"/>
    </font>
    <font>
      <i/>
      <sz val="10"/>
      <color indexed="8"/>
      <name val="Calibri"/>
      <family val="2"/>
      <charset val="0"/>
    </font>
    <font>
      <b/>
      <i/>
      <sz val="10"/>
      <color indexed="8"/>
      <name val="Calibri"/>
      <family val="2"/>
      <charset val="0"/>
    </font>
    <font>
      <b/>
      <sz val="11"/>
      <color indexed="8"/>
      <name val="Calibri"/>
      <family val="2"/>
      <charset val="0"/>
    </font>
    <font>
      <b/>
      <i/>
      <sz val="12"/>
      <color indexed="8"/>
      <name val="Calibri"/>
      <family val="2"/>
      <charset val="0"/>
    </font>
    <font>
      <sz val="8"/>
      <name val="Calibri"/>
      <family val="2"/>
      <charset val="0"/>
    </font>
    <font>
      <b/>
      <i/>
      <sz val="11"/>
      <color indexed="8"/>
      <name val="Calibri"/>
      <family val="2"/>
      <charset val="0"/>
    </font>
    <font>
      <b/>
      <i/>
      <sz val="11"/>
      <color theme="1"/>
      <name val="Calibri"/>
      <family val="2"/>
      <charset val="0"/>
      <scheme val="minor"/>
    </font>
    <font>
      <sz val="10"/>
      <name val="Arial"/>
      <family val="2"/>
      <charset val="0"/>
    </font>
    <font>
      <b/>
      <sz val="14"/>
      <name val="Arial"/>
      <family val="2"/>
      <charset val="0"/>
    </font>
    <font>
      <b/>
      <sz val="12"/>
      <name val="Arial"/>
      <family val="2"/>
      <charset val="0"/>
    </font>
    <font>
      <b/>
      <sz val="14"/>
      <color indexed="9"/>
      <name val="Arial"/>
      <family val="2"/>
      <charset val="0"/>
    </font>
    <font>
      <b/>
      <sz val="10"/>
      <name val="Arial"/>
      <family val="2"/>
      <charset val="0"/>
    </font>
    <font>
      <sz val="10"/>
      <color indexed="9"/>
      <name val="Arial"/>
      <family val="2"/>
      <charset val="0"/>
    </font>
    <font>
      <b/>
      <sz val="10"/>
      <color indexed="9"/>
      <name val="Arial"/>
      <family val="2"/>
      <charset val="0"/>
    </font>
    <font>
      <sz val="10"/>
      <color indexed="10"/>
      <name val="Arial"/>
      <family val="2"/>
      <charset val="0"/>
    </font>
    <font>
      <sz val="8"/>
      <name val="Arial"/>
      <family val="2"/>
      <charset val="0"/>
    </font>
    <font>
      <sz val="9"/>
      <name val="Arial"/>
      <family val="2"/>
      <charset val="0"/>
    </font>
    <font>
      <b/>
      <sz val="8"/>
      <name val="Arial"/>
      <family val="2"/>
      <charset val="0"/>
    </font>
    <font>
      <sz val="12"/>
      <color indexed="10"/>
      <name val="Arial"/>
      <family val="2"/>
      <charset val="0"/>
    </font>
    <font>
      <sz val="6"/>
      <name val="Arial"/>
      <family val="2"/>
      <charset val="0"/>
    </font>
    <font>
      <sz val="7"/>
      <name val="Arial"/>
      <family val="2"/>
      <charset val="0"/>
    </font>
    <font>
      <u val="single"/>
      <sz val="6"/>
      <name val="Arial Narrow"/>
      <family val="2"/>
      <charset val="0"/>
    </font>
    <font>
      <sz val="6"/>
      <name val="Arial Narrow"/>
      <family val="2"/>
      <charset val="0"/>
    </font>
    <font>
      <sz val="10"/>
      <name val="Arial Narrow"/>
      <family val="2"/>
      <charset val="0"/>
    </font>
    <font>
      <sz val="12"/>
      <name val="Arial Narrow"/>
      <family val="2"/>
      <charset val="0"/>
    </font>
    <font>
      <b/>
      <sz val="10"/>
      <name val="Arial Narrow"/>
      <family val="2"/>
      <charset val="0"/>
    </font>
    <font>
      <sz val="11"/>
      <name val="Arial"/>
      <family val="2"/>
      <charset val="0"/>
    </font>
    <font>
      <b/>
      <sz val="8"/>
      <color indexed="81"/>
      <name val="Tahoma"/>
      <family val="2"/>
      <charset val="0"/>
    </font>
    <font>
      <sz val="8"/>
      <color indexed="81"/>
      <name val="Tahoma"/>
      <family val="2"/>
      <charset val="0"/>
    </font>
    <font>
      <sz val="11"/>
      <color theme="1"/>
      <name val="Arial"/>
      <family val="2"/>
      <charset val="0"/>
    </font>
    <font>
      <b/>
      <i/>
      <sz val="11"/>
      <color indexed="18"/>
      <name val="Arial"/>
      <family val="2"/>
      <charset val="0"/>
    </font>
    <font>
      <b/>
      <sz val="11"/>
      <color theme="1"/>
      <name val="Calibri"/>
      <family val="2"/>
      <charset val="0"/>
      <scheme val="minor"/>
    </font>
    <font>
      <b/>
      <u val="single"/>
      <sz val="11"/>
      <color theme="1"/>
      <name val="Calibri"/>
      <family val="2"/>
      <charset val="0"/>
      <scheme val="minor"/>
    </font>
    <font>
      <sz val="11"/>
      <color indexed="8"/>
      <name val="Calibri"/>
      <family val="2"/>
      <charset val="0"/>
    </font>
    <font>
      <b/>
      <u val="single"/>
      <sz val="16"/>
      <color theme="1"/>
      <name val="Calibri"/>
      <family val="2"/>
      <charset val="0"/>
      <scheme val="minor"/>
    </font>
    <font>
      <sz val="16"/>
      <color theme="1"/>
      <name val="Calibri"/>
      <family val="2"/>
      <charset val="0"/>
      <scheme val="minor"/>
    </font>
    <font>
      <b/>
      <sz val="12"/>
      <color rgb="FFFF0000"/>
      <name val="Arial"/>
      <family val="2"/>
      <charset val="0"/>
    </font>
    <font>
      <b/>
      <sz val="14"/>
      <color theme="1"/>
      <name val="Calibri"/>
      <family val="2"/>
      <charset val="0"/>
      <scheme val="minor"/>
    </font>
    <font>
      <sz val="11"/>
      <color rgb="FFFF0000"/>
      <name val="Calibri"/>
      <family val="2"/>
      <charset val="0"/>
      <scheme val="minor"/>
    </font>
    <font>
      <sz val="8"/>
      <color theme="1"/>
      <name val="Calibri"/>
      <family val="2"/>
      <charset val="0"/>
      <scheme val="minor"/>
    </font>
    <font>
      <b/>
      <sz val="11"/>
      <name val="Calibri"/>
      <family val="2"/>
      <charset val="0"/>
    </font>
    <font>
      <sz val="11"/>
      <name val="Calibri"/>
      <family val="2"/>
      <charset val="0"/>
    </font>
    <font>
      <b/>
      <sz val="11"/>
      <color rgb="FFFF0000"/>
      <name val="Calibri"/>
      <family val="2"/>
      <charset val="0"/>
      <scheme val="minor"/>
    </font>
    <font>
      <sz val="11"/>
      <color theme="0"/>
      <name val="Calibri"/>
      <family val="2"/>
      <charset val="0"/>
      <scheme val="minor"/>
    </font>
    <font>
      <sz val="10"/>
      <color theme="0"/>
      <name val="Calibri"/>
      <family val="2"/>
      <charset val="0"/>
    </font>
    <font>
      <b/>
      <sz val="10"/>
      <color theme="0"/>
      <name val="Calibri"/>
      <family val="2"/>
      <charset val="0"/>
    </font>
    <font>
      <sz val="10"/>
      <name val="Tahoma"/>
      <family val="2"/>
      <charset val="0"/>
    </font>
    <font>
      <sz val="12"/>
      <color theme="1"/>
      <name val="Calibri"/>
      <family val="2"/>
      <charset val="0"/>
      <scheme val="minor"/>
    </font>
    <font>
      <b/>
      <u val="single"/>
      <sz val="12"/>
      <color theme="1"/>
      <name val="Calibri"/>
      <family val="2"/>
      <charset val="0"/>
      <scheme val="minor"/>
    </font>
    <font>
      <sz val="12"/>
      <color theme="8"/>
      <name val="Calibri"/>
      <family val="2"/>
      <charset val="0"/>
      <scheme val="minor"/>
    </font>
    <font>
      <b/>
      <sz val="12"/>
      <name val="Calibri"/>
      <family val="2"/>
      <charset val="0"/>
      <scheme val="minor"/>
    </font>
    <font>
      <b/>
      <sz val="12"/>
      <color theme="1"/>
      <name val="Calibri"/>
      <family val="2"/>
      <charset val="0"/>
      <scheme val="minor"/>
    </font>
    <font>
      <sz val="12"/>
      <name val="Calibri"/>
      <family val="2"/>
      <charset val="0"/>
      <scheme val="minor"/>
    </font>
    <font>
      <b/>
      <sz val="12"/>
      <color rgb="FFFFFFFF"/>
      <name val="Arial Narrow"/>
      <family val="2"/>
      <charset val="0"/>
    </font>
    <font>
      <sz val="12"/>
      <color rgb="FF000000"/>
      <name val="Arial Narrow"/>
      <family val="2"/>
      <charset val="0"/>
    </font>
    <font>
      <u val="single"/>
      <sz val="11"/>
      <color theme="10"/>
      <name val="Calibri"/>
      <family val="2"/>
      <charset val="0"/>
      <scheme val="minor"/>
    </font>
    <font>
      <b/>
      <i/>
      <sz val="16"/>
      <color indexed="8"/>
      <name val="Calibri"/>
      <family val="2"/>
      <charset val="0"/>
    </font>
    <font>
      <b/>
      <u val="single"/>
      <sz val="11"/>
      <name val="Calibri"/>
      <family val="2"/>
      <charset val="0"/>
      <scheme val="minor"/>
    </font>
    <font>
      <sz val="11"/>
      <color rgb="FF92D050"/>
      <name val="Calibri"/>
      <family val="2"/>
      <charset val="0"/>
      <scheme val="minor"/>
    </font>
    <font>
      <sz val="11"/>
      <color rgb="FF00B050"/>
      <name val="Calibri"/>
      <family val="2"/>
      <charset val="0"/>
      <scheme val="minor"/>
    </font>
    <font>
      <sz val="11"/>
      <color theme="6" tint="-0.249977111117893"/>
      <name val="Calibri"/>
      <family val="2"/>
      <charset val="0"/>
      <scheme val="minor"/>
    </font>
    <font>
      <b/>
      <sz val="8"/>
      <color theme="1"/>
      <name val="Calibri"/>
      <family val="2"/>
      <charset val="0"/>
      <scheme val="minor"/>
    </font>
    <font>
      <b/>
      <sz val="10"/>
      <color theme="0"/>
      <name val="Arial"/>
      <family val="2"/>
      <charset val="0"/>
    </font>
    <font>
      <sz val="11"/>
      <color rgb="FF1F497D"/>
      <name val="Arial"/>
      <family val="2"/>
      <charset val="0"/>
    </font>
    <font>
      <sz val="12"/>
      <name val="Arial"/>
      <family val="2"/>
      <charset val="0"/>
    </font>
    <font>
      <sz val="11"/>
      <color rgb="FF0000FF"/>
      <name val="Arial"/>
      <family val="2"/>
      <charset val="0"/>
    </font>
    <font>
      <u val="single"/>
      <sz val="10"/>
      <color indexed="12"/>
      <name val="Arial"/>
      <family val="2"/>
      <charset val="0"/>
    </font>
    <font>
      <b/>
      <sz val="9"/>
      <color indexed="8"/>
      <name val="Tahoma"/>
      <family val="2"/>
      <charset val="0"/>
    </font>
    <font>
      <sz val="10"/>
      <color rgb="FFFF0000"/>
      <name val="Arial"/>
      <family val="2"/>
      <charset val="0"/>
    </font>
    <font>
      <sz val="9"/>
      <color indexed="81"/>
      <name val="Tahoma"/>
      <family val="2"/>
      <charset val="0"/>
    </font>
    <font>
      <b/>
      <sz val="9"/>
      <color indexed="81"/>
      <name val="Tahoma"/>
      <family val="2"/>
      <charset val="0"/>
    </font>
    <font>
      <sz val="10"/>
      <color rgb="FFFFC000"/>
      <name val="Arial"/>
      <family val="2"/>
      <charset val="0"/>
    </font>
    <font>
      <b/>
      <sz val="10"/>
      <color rgb="FFFF0000"/>
      <name val="Arial"/>
      <family val="2"/>
      <charset val="0"/>
    </font>
    <font>
      <b/>
      <sz val="11"/>
      <color rgb="FF3F3F3F"/>
      <name val="Calibri"/>
      <family val="2"/>
      <charset val="0"/>
      <scheme val="minor"/>
    </font>
    <font>
      <sz val="11"/>
      <color rgb="FF000000"/>
      <name val="Calibri"/>
      <family val="2"/>
      <charset val="0"/>
    </font>
    <font>
      <u val="single"/>
      <sz val="11"/>
      <color rgb="FF0000FF"/>
      <name val="Calibri"/>
      <family val="2"/>
      <charset val="0"/>
    </font>
    <font>
      <sz val="12"/>
      <color rgb="FFFF0000"/>
      <name val="Calibri"/>
      <family val="2"/>
      <charset val="0"/>
      <scheme val="minor"/>
    </font>
    <font>
      <b/>
      <sz val="12"/>
      <color indexed="8"/>
      <name val="Calibri"/>
      <family val="2"/>
      <charset val="0"/>
    </font>
    <font>
      <i/>
      <sz val="11"/>
      <color theme="1"/>
      <name val="Calibri"/>
      <family val="2"/>
      <charset val="0"/>
      <scheme val="minor"/>
    </font>
    <font>
      <sz val="9"/>
      <color rgb="FF000000"/>
      <name val="Tahoma"/>
      <family val="2"/>
      <charset val="0"/>
    </font>
    <font>
      <sz val="11"/>
      <color rgb="FF3F3F3F"/>
      <name val="Calibri"/>
      <family val="2"/>
      <charset val="0"/>
      <scheme val="minor"/>
    </font>
    <font>
      <b/>
      <u val="single"/>
      <sz val="11"/>
      <color rgb="FFFF0000"/>
      <name val="Calibri"/>
      <family val="2"/>
      <charset val="0"/>
      <scheme val="minor"/>
    </font>
    <font>
      <b/>
      <u val="single"/>
      <sz val="11"/>
      <color rgb="FF3F3F3F"/>
      <name val="Calibri"/>
      <family val="2"/>
      <charset val="0"/>
      <scheme val="minor"/>
    </font>
    <font>
      <b/>
      <sz val="16"/>
      <name val="Arial"/>
      <family val="2"/>
      <charset val="0"/>
    </font>
    <font>
      <b/>
      <sz val="16"/>
      <color theme="1"/>
      <name val="Calibri"/>
      <family val="2"/>
      <charset val="0"/>
      <scheme val="minor"/>
    </font>
    <font>
      <b/>
      <i/>
      <sz val="10"/>
      <name val="Calibri"/>
      <family val="2"/>
      <charset val="0"/>
    </font>
    <font>
      <b/>
      <sz val="20"/>
      <name val="Arial"/>
      <family val="2"/>
      <charset val="0"/>
    </font>
    <font>
      <b/>
      <sz val="10"/>
      <color theme="5"/>
      <name val="Calibri"/>
      <family val="2"/>
      <charset val="0"/>
      <scheme val="minor"/>
    </font>
    <font>
      <b/>
      <sz val="10"/>
      <name val="Calibri"/>
      <family val="2"/>
      <charset val="0"/>
      <scheme val="minor"/>
    </font>
    <font>
      <b/>
      <u val="single"/>
      <sz val="10"/>
      <color theme="5"/>
      <name val="Calibri"/>
      <family val="2"/>
      <charset val="0"/>
      <scheme val="minor"/>
    </font>
    <font>
      <b/>
      <sz val="10"/>
      <color rgb="FFFF0000"/>
      <name val="Calibri"/>
      <family val="2"/>
      <charset val="0"/>
      <scheme val="minor"/>
    </font>
    <font>
      <b/>
      <sz val="16"/>
      <name val="Calibri"/>
      <family val="2"/>
      <charset val="0"/>
      <scheme val="minor"/>
    </font>
    <font>
      <b/>
      <sz val="16"/>
      <color rgb="FFFF0000"/>
      <name val="Arial"/>
      <family val="2"/>
      <charset val="0"/>
    </font>
    <font>
      <b/>
      <sz val="18"/>
      <name val="Arial"/>
      <family val="2"/>
      <charset val="0"/>
    </font>
    <font>
      <b/>
      <u val="single"/>
      <sz val="18"/>
      <color theme="1"/>
      <name val="Calibri"/>
      <family val="2"/>
      <charset val="0"/>
      <scheme val="minor"/>
    </font>
    <font>
      <sz val="18"/>
      <name val="Arial"/>
      <family val="2"/>
      <charset val="0"/>
    </font>
    <font>
      <b/>
      <sz val="18"/>
      <color theme="1"/>
      <name val="Calibri"/>
      <family val="2"/>
      <charset val="0"/>
      <scheme val="minor"/>
    </font>
    <font>
      <sz val="20"/>
      <name val="Arial"/>
      <family val="2"/>
      <charset val="0"/>
    </font>
    <font>
      <sz val="14"/>
      <color theme="1"/>
      <name val="Calibri"/>
      <family val="2"/>
      <charset val="0"/>
      <scheme val="minor"/>
    </font>
    <font>
      <sz val="14"/>
      <color rgb="FFFF0000"/>
      <name val="Calibri"/>
      <family val="2"/>
      <charset val="0"/>
      <scheme val="minor"/>
    </font>
    <font>
      <b/>
      <sz val="14"/>
      <color rgb="FFFF0000"/>
      <name val="Calibri"/>
      <family val="2"/>
      <charset val="0"/>
      <scheme val="minor"/>
    </font>
    <font>
      <u val="single"/>
      <sz val="14"/>
      <color theme="10"/>
      <name val="Calibri"/>
      <family val="2"/>
      <charset val="0"/>
      <scheme val="minor"/>
    </font>
    <font>
      <b/>
      <sz val="20"/>
      <color rgb="FFFF0000"/>
      <name val="Arial"/>
      <family val="2"/>
      <charset val="0"/>
    </font>
    <font>
      <b/>
      <u val="single"/>
      <sz val="10"/>
      <color rgb="FFFF0000"/>
      <name val="Calibri"/>
      <family val="2"/>
      <charset val="0"/>
    </font>
  </fonts>
  <fills count="56">
    <fill>
      <patternFill patternType="none">
        <fgColor indexed="64"/>
        <bgColor indexed="65"/>
      </patternFill>
    </fill>
    <fill>
      <patternFill patternType="gray125">
        <fgColor indexed="64"/>
        <bgColor indexed="65"/>
      </patternFill>
    </fill>
    <fill>
      <patternFill patternType="solid">
        <fgColor rgb="FFF2F2F2"/>
        <bgColor indexed="65"/>
      </patternFill>
    </fill>
    <fill>
      <patternFill patternType="solid">
        <fgColor rgb="FFFFFFCC"/>
        <bgColor indexed="65"/>
      </patternFill>
    </fill>
    <fill>
      <patternFill patternType="solid">
        <fgColor indexed="22"/>
        <bgColor indexed="64"/>
      </patternFill>
    </fill>
    <fill>
      <patternFill patternType="solid">
        <fgColor rgb="FFFFFFFF"/>
        <bgColor indexed="64"/>
      </patternFill>
    </fill>
    <fill>
      <patternFill patternType="solid">
        <fgColor indexed="31"/>
        <bgColor indexed="64"/>
      </patternFill>
    </fill>
    <fill>
      <patternFill patternType="solid">
        <fgColor indexed="9"/>
        <bgColor indexed="64"/>
      </patternFill>
    </fill>
    <fill>
      <patternFill patternType="gray125">
        <fgColor indexed="31"/>
        <bgColor indexed="31"/>
      </patternFill>
    </fill>
    <fill>
      <patternFill patternType="solid">
        <fgColor indexed="13"/>
        <bgColor indexed="64"/>
      </patternFill>
    </fill>
    <fill>
      <patternFill patternType="solid">
        <fgColor indexed="44"/>
        <bgColor indexed="64"/>
      </patternFill>
    </fill>
    <fill>
      <patternFill patternType="solid">
        <fgColor indexed="51"/>
        <bgColor indexed="64"/>
      </patternFill>
    </fill>
    <fill>
      <patternFill patternType="solid">
        <fgColor indexed="20"/>
        <bgColor indexed="64"/>
      </patternFill>
    </fill>
    <fill>
      <patternFill patternType="solid">
        <fgColor indexed="10"/>
        <bgColor indexed="64"/>
      </patternFill>
    </fill>
    <fill>
      <patternFill patternType="solid">
        <fgColor indexed="47"/>
        <bgColor indexed="64"/>
      </patternFill>
    </fill>
    <fill>
      <patternFill patternType="solid">
        <fgColor indexed="52"/>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14"/>
        <bgColor indexed="64"/>
      </patternFill>
    </fill>
    <fill>
      <patternFill patternType="solid">
        <fgColor indexed="53"/>
        <bgColor indexed="64"/>
      </patternFill>
    </fill>
    <fill>
      <patternFill patternType="solid">
        <fgColor indexed="11"/>
        <bgColor indexed="64"/>
      </patternFill>
    </fill>
    <fill>
      <patternFill patternType="solid">
        <fgColor indexed="15"/>
        <bgColor indexed="64"/>
      </patternFill>
    </fill>
    <fill>
      <patternFill patternType="solid">
        <fgColor indexed="45"/>
        <bgColor indexed="64"/>
      </patternFill>
    </fill>
    <fill>
      <patternFill patternType="solid">
        <fgColor indexed="49"/>
        <bgColor indexed="64"/>
      </patternFill>
    </fill>
    <fill>
      <patternFill patternType="solid">
        <fgColor indexed="50"/>
        <bgColor indexed="64"/>
      </patternFill>
    </fill>
    <fill>
      <patternFill patternType="solid">
        <fgColor rgb="FF00B0F0"/>
        <bgColor indexed="64"/>
      </patternFill>
    </fill>
    <fill>
      <patternFill patternType="solid">
        <fgColor rgb="FFCCCCFF"/>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bgColor indexed="64"/>
      </patternFill>
    </fill>
    <fill>
      <patternFill patternType="solid">
        <fgColor theme="4" tint="0.79998168889431442"/>
        <bgColor indexed="64"/>
      </patternFill>
    </fill>
    <fill>
      <patternFill patternType="solid">
        <fgColor rgb="FFE2BCBC"/>
        <bgColor indexed="64"/>
      </patternFill>
    </fill>
    <fill>
      <patternFill patternType="solid">
        <fgColor rgb="FFCCCCFF"/>
        <bgColor rgb="FF000000"/>
      </patternFill>
    </fill>
    <fill>
      <patternFill patternType="solid">
        <fgColor rgb="FFE6B8B7"/>
        <bgColor rgb="FF000000"/>
      </patternFill>
    </fill>
    <fill>
      <patternFill patternType="gray125">
        <fgColor indexed="31"/>
        <bgColor theme="0"/>
      </patternFill>
    </fill>
    <fill>
      <patternFill patternType="solid">
        <fgColor theme="6"/>
        <bgColor indexed="64"/>
      </patternFill>
    </fill>
  </fills>
  <borders count="92">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22"/>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ck">
        <color rgb="FF331188"/>
      </left>
      <right/>
      <top style="thin">
        <color theme="1"/>
      </top>
      <bottom/>
      <diagonal/>
    </border>
    <border>
      <left style="thick">
        <color rgb="FF331188"/>
      </left>
      <right style="thin">
        <color indexed="64"/>
      </right>
      <top style="thin">
        <color theme="1"/>
      </top>
      <bottom style="thin">
        <color indexed="64"/>
      </bottom>
      <diagonal/>
    </border>
    <border>
      <left style="thin">
        <color indexed="64"/>
      </left>
      <right style="thick">
        <color rgb="FF331188"/>
      </right>
      <top style="thin">
        <color theme="1"/>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3F3F3F"/>
      </left>
      <right/>
      <top style="thin">
        <color rgb="FF3F3F3F"/>
      </top>
      <bottom style="thin">
        <color rgb="FF3F3F3F"/>
      </bottom>
      <diagonal/>
    </border>
    <border>
      <left style="thin">
        <color indexed="64"/>
      </left>
      <right/>
      <top style="thin">
        <color rgb="FF3F3F3F"/>
      </top>
      <bottom style="thin">
        <color rgb="FF3F3F3F"/>
      </bottom>
      <diagonal/>
    </border>
    <border>
      <left style="thin">
        <color indexed="64"/>
      </left>
      <right style="thin">
        <color indexed="64"/>
      </right>
      <top style="thin">
        <color rgb="FF3F3F3F"/>
      </top>
      <bottom style="thin">
        <color rgb="FF3F3F3F"/>
      </bottom>
      <diagonal/>
    </border>
    <border>
      <left style="thin">
        <color rgb="FF3F3F3F"/>
      </left>
      <right style="thin">
        <color rgb="FF3F3F3F"/>
      </right>
      <top style="thin">
        <color rgb="FF3F3F3F"/>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right/>
      <top style="thin">
        <color rgb="FF3F3F3F"/>
      </top>
      <bottom style="thin">
        <color rgb="FF3F3F3F"/>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3F3F3F"/>
      </left>
      <right style="thin">
        <color indexed="64"/>
      </right>
      <top style="thin">
        <color rgb="FF3F3F3F"/>
      </top>
      <bottom style="thin">
        <color rgb="FF3F3F3F"/>
      </bottom>
      <diagonal/>
    </border>
    <border>
      <left style="thin">
        <color rgb="FF3F3F3F"/>
      </left>
      <right style="thin">
        <color rgb="FF3F3F3F"/>
      </right>
      <top style="thin">
        <color rgb="FF3F3F3F"/>
      </top>
      <bottom/>
      <diagonal/>
    </border>
    <border>
      <left style="thin">
        <color indexed="64"/>
      </left>
      <right style="thin">
        <color indexed="64"/>
      </right>
      <top/>
      <bottom style="thin">
        <color rgb="FF3F3F3F"/>
      </bottom>
      <diagonal/>
    </border>
    <border>
      <left style="thin">
        <color indexed="64"/>
      </left>
      <right style="thin">
        <color indexed="64"/>
      </right>
      <top style="thin">
        <color rgb="FF3F3F3F"/>
      </top>
      <bottom style="thin">
        <color indexed="64"/>
      </bottom>
      <diagonal/>
    </border>
    <border>
      <left style="thin">
        <color rgb="FF3F3F3F"/>
      </left>
      <right/>
      <top/>
      <bottom style="thin">
        <color rgb="FF3F3F3F"/>
      </bottom>
      <diagonal/>
    </border>
    <border>
      <left style="thin">
        <color rgb="FF3F3F3F"/>
      </left>
      <right style="thin">
        <color rgb="FF3F3F3F"/>
      </right>
      <top/>
      <bottom style="thin">
        <color rgb="FF3F3F3F"/>
      </bottom>
      <diagonal/>
    </border>
    <border>
      <left style="thin">
        <color rgb="FF3F3F3F"/>
      </left>
      <right style="thin">
        <color indexed="64"/>
      </right>
      <top/>
      <bottom style="thin">
        <color rgb="FF3F3F3F"/>
      </bottom>
      <diagonal/>
    </border>
    <border>
      <left/>
      <right style="thin">
        <color rgb="FF3F3F3F"/>
      </right>
      <top/>
      <bottom style="thin">
        <color rgb="FF3F3F3F"/>
      </bottom>
      <diagonal/>
    </border>
    <border>
      <left/>
      <right/>
      <top/>
      <bottom style="thin">
        <color rgb="FF3F3F3F"/>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rgb="FF3F3F3F"/>
      </bottom>
      <diagonal/>
    </border>
    <border>
      <left/>
      <right style="thin">
        <color indexed="64"/>
      </right>
      <top/>
      <bottom style="thin">
        <color rgb="FF3F3F3F"/>
      </bottom>
      <diagonal/>
    </border>
    <border>
      <left/>
      <right style="thin">
        <color rgb="FF3F3F3F"/>
      </right>
      <top style="thin">
        <color rgb="FF3F3F3F"/>
      </top>
      <bottom style="thin">
        <color rgb="FF3F3F3F"/>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3F3F3F"/>
      </left>
      <right/>
      <top/>
      <bottom/>
      <diagonal/>
    </border>
    <border>
      <left style="thin">
        <color rgb="FF3F3F3F"/>
      </left>
      <right/>
      <top style="thin">
        <color rgb="FF3F3F3F"/>
      </top>
      <bottom/>
      <diagonal/>
    </border>
    <border>
      <left/>
      <right/>
      <top style="thin">
        <color rgb="FF3F3F3F"/>
      </top>
      <bottom/>
      <diagonal/>
    </border>
  </borders>
  <cellStyleXfs count="1414">
    <xf numFmtId="0" fontId="0" fillId="0" borderId="0"/>
    <xf numFmtId="0" fontId="13" fillId="0" borderId="0"/>
    <xf numFmtId="43" fontId="13" fillId="0" borderId="0" applyAlignment="0" applyBorder="0" applyFont="0" applyFill="0" applyProtection="0"/>
    <xf numFmtId="9" fontId="13" fillId="0" borderId="0" applyAlignment="0" applyBorder="0" applyFont="0" applyFill="0" applyProtection="0"/>
    <xf numFmtId="0" fontId="35" fillId="0" borderId="0"/>
    <xf numFmtId="43" fontId="13" fillId="0" borderId="0" applyAlignment="0" applyBorder="0" applyFont="0" applyFill="0" applyProtection="0"/>
    <xf numFmtId="43" fontId="39" fillId="0" borderId="0" applyAlignment="0" applyBorder="0" applyFont="0" applyFill="0" applyProtection="0"/>
    <xf numFmtId="9" fontId="39" fillId="0" borderId="0" applyAlignment="0" applyBorder="0" applyFont="0" applyFill="0" applyProtection="0"/>
    <xf numFmtId="43" fontId="1" fillId="0" borderId="0" applyAlignment="0" applyBorder="0" applyFont="0" applyFill="0" applyProtection="0"/>
    <xf numFmtId="44" fontId="52" fillId="0" borderId="0" applyAlignment="0" applyBorder="0" applyFont="0" applyFill="0" applyProtection="0"/>
    <xf numFmtId="0" fontId="53" fillId="0" borderId="0"/>
    <xf numFmtId="0" fontId="72" fillId="0" borderId="0" applyBorder="0" applyNumberFormat="0" applyFill="0" applyProtection="0">
      <alignment vertical="top"/>
      <protection locked="0"/>
    </xf>
    <xf numFmtId="0" fontId="61" fillId="0" borderId="0" applyAlignment="0" applyBorder="0" applyNumberFormat="0" applyFill="0" applyProtection="0"/>
    <xf numFmtId="0" fontId="13" fillId="0" borderId="0"/>
    <xf numFmtId="0" fontId="53" fillId="0" borderId="0"/>
    <xf numFmtId="0" fontId="35" fillId="0" borderId="0"/>
    <xf numFmtId="41" fontId="13" fillId="0" borderId="0" applyAlignment="0" applyBorder="0" applyFont="0" applyFill="0" applyProtection="0"/>
    <xf numFmtId="44" fontId="13" fillId="0" borderId="0" applyAlignment="0" applyBorder="0" applyFont="0" applyFill="0" applyProtection="0"/>
    <xf numFmtId="42" fontId="13" fillId="0" borderId="0" applyAlignment="0" applyBorder="0" applyFont="0" applyFill="0" applyProtection="0"/>
    <xf numFmtId="0" fontId="79" fillId="2" borderId="1" applyAlignment="0" applyNumberFormat="0" applyProtection="0"/>
    <xf numFmtId="0" fontId="1" fillId="0" borderId="0"/>
    <xf numFmtId="43" fontId="13" fillId="0" borderId="0" applyAlignment="0" applyBorder="0" applyFont="0" applyFill="0" applyProtection="0"/>
    <xf numFmtId="0" fontId="13" fillId="0" borderId="0"/>
    <xf numFmtId="174" fontId="80" fillId="0" borderId="0" applyBorder="0" applyProtection="0"/>
    <xf numFmtId="9" fontId="80" fillId="0" borderId="0" applyBorder="0" applyProtection="0"/>
    <xf numFmtId="0" fontId="81" fillId="0" borderId="0" applyBorder="0" applyProtection="0"/>
    <xf numFmtId="0" fontId="1" fillId="0" borderId="0"/>
    <xf numFmtId="0" fontId="80" fillId="0" borderId="0"/>
    <xf numFmtId="0" fontId="1" fillId="0" borderId="0"/>
    <xf numFmtId="43" fontId="1" fillId="0" borderId="0" applyAlignment="0" applyBorder="0" applyFont="0" applyFill="0" applyProtection="0"/>
    <xf numFmtId="44" fontId="1" fillId="0" borderId="0" applyAlignment="0" applyBorder="0" applyFont="0" applyFill="0" applyProtection="0"/>
    <xf numFmtId="44" fontId="13"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3" fillId="0" borderId="0"/>
    <xf numFmtId="0" fontId="13" fillId="0" borderId="0"/>
    <xf numFmtId="9" fontId="13" fillId="0" borderId="0" applyAlignment="0" applyBorder="0" applyFont="0" applyFill="0" applyProtection="0"/>
    <xf numFmtId="9" fontId="13" fillId="0" borderId="0" applyAlignment="0" applyBorder="0" applyFont="0" applyFill="0" applyProtection="0"/>
    <xf numFmtId="0" fontId="1" fillId="0" borderId="0"/>
    <xf numFmtId="0" fontId="1" fillId="3" borderId="2" applyAlignment="0" applyFont="0" applyNumberFormat="0" applyProtection="0"/>
    <xf numFmtId="43" fontId="13" fillId="0" borderId="0" applyAlignment="0" applyBorder="0" applyFont="0" applyFill="0" applyProtection="0"/>
    <xf numFmtId="0" fontId="72" fillId="0" borderId="0" applyBorder="0" applyNumberFormat="0" applyFill="0" applyProtection="0">
      <alignment vertical="top"/>
      <protection locked="0"/>
    </xf>
    <xf numFmtId="0" fontId="1" fillId="0" borderId="0"/>
    <xf numFmtId="0" fontId="1" fillId="3" borderId="2" applyAlignment="0" applyFont="0" applyNumberFormat="0" applyProtection="0"/>
    <xf numFmtId="0" fontId="1" fillId="0" borderId="0"/>
    <xf numFmtId="43" fontId="1" fillId="0" borderId="0" applyAlignment="0" applyBorder="0" applyFont="0" applyFill="0" applyProtection="0"/>
    <xf numFmtId="0" fontId="1" fillId="0" borderId="0"/>
    <xf numFmtId="0" fontId="1" fillId="0" borderId="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2" applyAlignment="0" applyFont="0" applyNumberFormat="0" applyProtection="0"/>
    <xf numFmtId="0" fontId="1" fillId="0" borderId="0"/>
    <xf numFmtId="0" fontId="1" fillId="3" borderId="2" applyAlignment="0" applyFont="0" applyNumberFormat="0" applyProtection="0"/>
    <xf numFmtId="43" fontId="1" fillId="0" borderId="0" applyAlignment="0" applyBorder="0" applyFont="0" applyFill="0" applyProtection="0"/>
    <xf numFmtId="41" fontId="13" fillId="0" borderId="0" applyAlignment="0" applyBorder="0" applyFont="0" applyFill="0" applyProtection="0"/>
    <xf numFmtId="44" fontId="13" fillId="0" borderId="0" applyAlignment="0" applyBorder="0" applyFont="0" applyFill="0" applyProtection="0"/>
    <xf numFmtId="42" fontId="13" fillId="0" borderId="0" applyAlignment="0" applyBorder="0" applyFont="0" applyFill="0" applyProtection="0"/>
    <xf numFmtId="0" fontId="73" fillId="4" borderId="3">
      <alignment vertical="center"/>
    </xf>
    <xf numFmtId="49" fontId="85" fillId="5" borderId="3">
      <alignment vertical="center"/>
    </xf>
    <xf numFmtId="0" fontId="1" fillId="0" borderId="0"/>
    <xf numFmtId="43" fontId="1" fillId="0" borderId="0" applyAlignment="0" applyBorder="0" applyFont="0" applyFill="0" applyProtection="0"/>
    <xf numFmtId="44" fontId="13" fillId="0" borderId="0" applyAlignment="0" applyBorder="0" applyFont="0" applyFill="0" applyProtection="0"/>
    <xf numFmtId="44" fontId="1" fillId="0" borderId="0" applyAlignment="0" applyBorder="0" applyFont="0" applyFill="0" applyProtection="0"/>
    <xf numFmtId="43" fontId="13" fillId="0" borderId="0" applyAlignment="0" applyBorder="0" applyFont="0" applyFill="0" applyProtection="0"/>
    <xf numFmtId="0" fontId="1" fillId="0" borderId="0"/>
    <xf numFmtId="43" fontId="1" fillId="0" borderId="0" applyAlignment="0" applyBorder="0" applyFont="0" applyFill="0" applyProtection="0"/>
    <xf numFmtId="44" fontId="13" fillId="0" borderId="0" applyAlignment="0" applyBorder="0" applyFont="0" applyFill="0" applyProtection="0"/>
    <xf numFmtId="0" fontId="1" fillId="0" borderId="0"/>
    <xf numFmtId="0" fontId="1" fillId="0" borderId="0"/>
    <xf numFmtId="44" fontId="13" fillId="0" borderId="0" applyAlignment="0" applyBorder="0" applyFont="0" applyFill="0" applyProtection="0"/>
    <xf numFmtId="0" fontId="1" fillId="0" borderId="0"/>
    <xf numFmtId="0" fontId="1" fillId="0" borderId="0"/>
    <xf numFmtId="0" fontId="1" fillId="0" borderId="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Alignment="0" applyBorder="0" applyFont="0" applyFill="0" applyProtection="0"/>
    <xf numFmtId="0" fontId="1" fillId="0" borderId="0"/>
    <xf numFmtId="43" fontId="13" fillId="0" borderId="0" applyAlignment="0" applyBorder="0" applyFont="0" applyFill="0" applyProtection="0"/>
    <xf numFmtId="43" fontId="13" fillId="0" borderId="0" applyAlignment="0" applyBorder="0" applyFont="0" applyFill="0" applyProtection="0"/>
    <xf numFmtId="0" fontId="1" fillId="0" borderId="0"/>
    <xf numFmtId="0" fontId="1" fillId="3" borderId="2" applyAlignment="0" applyFont="0" applyNumberFormat="0" applyProtection="0"/>
    <xf numFmtId="43" fontId="1" fillId="0" borderId="0" applyAlignment="0" applyBorder="0" applyFont="0" applyFill="0" applyProtection="0"/>
    <xf numFmtId="0" fontId="1" fillId="0" borderId="0"/>
    <xf numFmtId="0" fontId="1" fillId="3" borderId="2" applyAlignment="0" applyFont="0" applyNumberFormat="0" applyProtection="0"/>
    <xf numFmtId="0" fontId="1" fillId="0" borderId="0"/>
    <xf numFmtId="43" fontId="1" fillId="0" borderId="0" applyAlignment="0" applyBorder="0" applyFont="0" applyFill="0" applyProtection="0"/>
    <xf numFmtId="0" fontId="1" fillId="0" borderId="0"/>
    <xf numFmtId="0" fontId="1" fillId="0" borderId="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2" applyAlignment="0" applyFont="0" applyNumberFormat="0" applyProtection="0"/>
    <xf numFmtId="0" fontId="1" fillId="0" borderId="0"/>
    <xf numFmtId="0" fontId="1" fillId="3" borderId="2" applyAlignment="0" applyFont="0" applyNumberFormat="0" applyProtection="0"/>
    <xf numFmtId="43"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2" applyAlignment="0" applyFont="0" applyNumberFormat="0" applyProtection="0"/>
    <xf numFmtId="0" fontId="1" fillId="0" borderId="0"/>
    <xf numFmtId="0" fontId="1" fillId="3" borderId="2" applyAlignment="0" applyFont="0" applyNumberFormat="0" applyProtection="0"/>
    <xf numFmtId="0" fontId="1" fillId="0" borderId="0"/>
    <xf numFmtId="43" fontId="1" fillId="0" borderId="0" applyAlignment="0" applyBorder="0" applyFont="0" applyFill="0" applyProtection="0"/>
    <xf numFmtId="0" fontId="1" fillId="0" borderId="0"/>
    <xf numFmtId="0" fontId="1" fillId="0" borderId="0"/>
    <xf numFmtId="43" fontId="1" fillId="0" borderId="0" applyAlignment="0" applyBorder="0" applyFont="0" applyFill="0" applyProtection="0"/>
    <xf numFmtId="44" fontId="1" fillId="0" borderId="0" applyAlignment="0" applyBorder="0" applyFont="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2" applyAlignment="0" applyFont="0" applyNumberFormat="0" applyProtection="0"/>
    <xf numFmtId="0" fontId="1" fillId="0" borderId="0"/>
    <xf numFmtId="0" fontId="1" fillId="3" borderId="2" applyAlignment="0" applyFont="0" applyNumberFormat="0" applyProtection="0"/>
    <xf numFmtId="43" fontId="1" fillId="0" borderId="0" applyAlignment="0" applyBorder="0" applyFont="0" applyFill="0" applyProtection="0"/>
    <xf numFmtId="9" fontId="13" fillId="0" borderId="0" applyAlignment="0" applyBorder="0" applyFont="0" applyFill="0" applyProtection="0"/>
    <xf numFmtId="0" fontId="1" fillId="0" borderId="0"/>
    <xf numFmtId="44" fontId="1" fillId="0" borderId="0" applyAlignment="0" applyBorder="0" applyFont="0" applyFill="0" applyProtection="0"/>
  </cellStyleXfs>
  <cellXfs>
    <xf numFmtId="0" fontId="0" fillId="0" borderId="0" xfId="0"/>
    <xf numFmtId="7" fontId="3" fillId="6" borderId="4" xfId="0" applyAlignment="1" applyBorder="1" applyFont="1" applyNumberFormat="1" applyFill="1">
      <alignment horizontal="center" vertical="center" wrapText="1"/>
    </xf>
    <xf numFmtId="44" fontId="5" fillId="6" borderId="5" xfId="0" applyAlignment="1" applyBorder="1" applyFont="1" applyNumberFormat="1" applyFill="1">
      <alignment horizontal="center" vertical="center" wrapText="1"/>
    </xf>
    <xf numFmtId="1" fontId="3" fillId="7" borderId="5" xfId="0" applyAlignment="1" applyBorder="1" applyFont="1" applyNumberFormat="1" applyFill="1" applyProtection="1">
      <alignment horizontal="center" vertical="center" wrapText="1"/>
      <protection locked="0"/>
    </xf>
    <xf numFmtId="0" fontId="3" fillId="6" borderId="5" xfId="0" applyAlignment="1" applyBorder="1" applyFont="1" applyFill="1">
      <alignment horizontal="center" vertical="center" wrapText="1"/>
    </xf>
    <xf numFmtId="0" fontId="3" fillId="0" borderId="0" xfId="0" applyFont="1"/>
    <xf numFmtId="0" fontId="3" fillId="0" borderId="0" xfId="0" applyAlignment="1" applyFont="1">
      <alignment horizontal="center" vertical="center"/>
    </xf>
    <xf numFmtId="8" fontId="7" fillId="0" borderId="0" xfId="0" applyAlignment="1" applyBorder="1" applyFont="1" applyNumberFormat="1">
      <alignment horizontal="center" vertical="center"/>
    </xf>
    <xf numFmtId="0" fontId="3" fillId="0" borderId="5" xfId="0" applyAlignment="1" applyBorder="1" applyFont="1" applyFill="1" applyProtection="1">
      <alignment horizontal="center" vertical="center" wrapText="1"/>
      <protection locked="0"/>
    </xf>
    <xf numFmtId="0" fontId="7" fillId="7" borderId="5" xfId="0" applyAlignment="1" applyBorder="1" applyFont="1" applyFill="1">
      <alignment horizontal="center" vertical="center" wrapText="1"/>
    </xf>
    <xf numFmtId="0" fontId="7" fillId="7" borderId="4" xfId="0" applyAlignment="1" applyBorder="1" applyFont="1" applyFill="1">
      <alignment horizontal="center" vertical="center" wrapText="1"/>
    </xf>
    <xf numFmtId="0" fontId="7" fillId="0" borderId="0" xfId="0" applyAlignment="1" applyFont="1">
      <alignment horizontal="center" vertical="center"/>
    </xf>
    <xf numFmtId="0" fontId="3" fillId="0" borderId="0" xfId="0" applyAlignment="1" applyBorder="1" applyFont="1" applyFill="1" applyProtection="1">
      <alignment horizontal="center" vertical="center" wrapText="1"/>
      <protection locked="0"/>
    </xf>
    <xf numFmtId="0" fontId="3" fillId="0" borderId="0" xfId="0" applyAlignment="1" applyFont="1" applyFill="1">
      <alignment horizontal="center" vertical="center"/>
    </xf>
    <xf numFmtId="0" fontId="0" fillId="0" borderId="0" xfId="0" applyAlignment="1">
      <alignment horizontal="left"/>
    </xf>
    <xf numFmtId="0" fontId="3" fillId="0" borderId="0" xfId="0" applyAlignment="1" applyBorder="1" applyFont="1" applyFill="1">
      <alignment horizontal="center" vertical="center"/>
    </xf>
    <xf numFmtId="0" fontId="7" fillId="0" borderId="0" xfId="0" applyAlignment="1" applyFont="1">
      <alignment horizontal="left" vertical="center" wrapText="1"/>
    </xf>
    <xf numFmtId="0" fontId="7" fillId="0" borderId="5" xfId="0" applyAlignment="1" applyBorder="1" applyFont="1">
      <alignment horizontal="center" vertical="center"/>
    </xf>
    <xf numFmtId="0" fontId="6" fillId="0" borderId="0" xfId="0" applyAlignment="1" applyBorder="1" applyFont="1" applyFill="1">
      <alignment horizontal="center" vertical="center" wrapText="1"/>
    </xf>
    <xf numFmtId="0" fontId="9" fillId="0" borderId="0" xfId="0" applyAlignment="1" applyFont="1" applyFill="1">
      <alignment horizontal="center" vertical="center"/>
    </xf>
    <xf numFmtId="0" fontId="3" fillId="8" borderId="0" xfId="0" applyAlignment="1" applyBorder="1" applyFont="1" applyFill="1">
      <alignment horizontal="center" vertical="center"/>
    </xf>
    <xf numFmtId="0" fontId="9" fillId="0" borderId="0" xfId="0" applyFont="1"/>
    <xf numFmtId="0" fontId="9" fillId="0" borderId="0" xfId="0" applyAlignment="1" applyBorder="1" applyFont="1" applyFill="1">
      <alignment horizontal="left" vertical="center" wrapText="1"/>
    </xf>
    <xf numFmtId="0" fontId="3" fillId="0" borderId="0" xfId="0" applyFont="1" quotePrefix="1"/>
    <xf numFmtId="44" fontId="8" fillId="9" borderId="6" xfId="0" applyAlignment="1" applyBorder="1" applyFont="1" applyNumberFormat="1" applyFill="1">
      <alignment horizontal="center" vertical="center"/>
    </xf>
    <xf numFmtId="0" fontId="5" fillId="9" borderId="7" xfId="0" applyAlignment="1" applyBorder="1" applyFont="1" applyFill="1">
      <alignment horizontal="left" vertical="center" wrapText="1"/>
    </xf>
    <xf numFmtId="0" fontId="8" fillId="0" borderId="0" xfId="0" applyAlignment="1" applyFont="1">
      <alignment horizontal="right" vertical="center"/>
    </xf>
    <xf numFmtId="8" fontId="11" fillId="0" borderId="0" xfId="0" applyAlignment="1" applyBorder="1" applyFont="1" applyNumberFormat="1" applyFill="1">
      <alignment horizontal="right" vertical="center"/>
    </xf>
    <xf numFmtId="0" fontId="11" fillId="0" borderId="0" xfId="0" applyAlignment="1" applyBorder="1" applyFont="1" applyFill="1">
      <alignment horizontal="right" vertical="center"/>
    </xf>
    <xf numFmtId="0" fontId="8" fillId="0" borderId="0" xfId="0" applyAlignment="1" applyFont="1">
      <alignment horizontal="right"/>
    </xf>
    <xf numFmtId="0" fontId="0" fillId="0" borderId="0" xfId="0" applyAlignment="1">
      <alignment horizontal="right"/>
    </xf>
    <xf numFmtId="0" fontId="8" fillId="0" borderId="5" xfId="0" applyAlignment="1" applyBorder="1" applyFont="1" applyFill="1">
      <alignment horizontal="left" vertical="center"/>
    </xf>
    <xf numFmtId="0" fontId="8" fillId="0" borderId="5" xfId="0" applyAlignment="1" applyBorder="1" applyFont="1" applyFill="1">
      <alignment horizontal="left" vertical="center" wrapText="1"/>
    </xf>
    <xf numFmtId="0" fontId="8" fillId="0" borderId="5" xfId="0" applyAlignment="1" applyBorder="1" applyFont="1" applyFill="1">
      <alignment horizontal="left"/>
    </xf>
    <xf numFmtId="44" fontId="8" fillId="0" borderId="5" xfId="0" applyAlignment="1" applyBorder="1" applyFont="1" applyNumberFormat="1" applyFill="1">
      <alignment horizontal="right" vertical="center" wrapText="1"/>
    </xf>
    <xf numFmtId="0" fontId="7" fillId="0" borderId="5" xfId="0" applyAlignment="1" applyBorder="1" applyFont="1" applyFill="1">
      <alignment horizontal="center" vertical="center" wrapText="1"/>
    </xf>
    <xf numFmtId="0" fontId="3" fillId="0" borderId="0" xfId="0" applyAlignment="1" applyBorder="1" applyFont="1" applyFill="1">
      <alignment horizontal="center" vertical="center" wrapText="1"/>
    </xf>
    <xf numFmtId="44" fontId="5" fillId="0" borderId="0" xfId="0" applyAlignment="1" applyBorder="1" applyFont="1" applyNumberFormat="1" applyFill="1">
      <alignment horizontal="center" vertical="center" wrapText="1"/>
    </xf>
    <xf numFmtId="44" fontId="5" fillId="6" borderId="8" xfId="0" applyAlignment="1" applyBorder="1" applyFont="1" applyNumberFormat="1" applyFill="1">
      <alignment horizontal="center" vertical="center" wrapText="1"/>
    </xf>
    <xf numFmtId="0" fontId="3" fillId="0" borderId="9" xfId="0" applyAlignment="1" applyBorder="1" applyFont="1">
      <alignment horizontal="left" vertical="center"/>
    </xf>
    <xf numFmtId="0" fontId="3" fillId="0" borderId="10" xfId="0" applyAlignment="1" applyBorder="1" applyFont="1">
      <alignment horizontal="left" vertical="center"/>
    </xf>
    <xf numFmtId="0" fontId="3" fillId="8" borderId="11" xfId="0" applyAlignment="1" applyBorder="1" applyFont="1" applyFill="1">
      <alignment horizontal="center" vertical="center"/>
    </xf>
    <xf numFmtId="0" fontId="3" fillId="8" borderId="12" xfId="0" applyAlignment="1" applyBorder="1" applyFont="1" applyFill="1">
      <alignment horizontal="center" vertical="center"/>
    </xf>
    <xf numFmtId="0" fontId="3" fillId="8" borderId="13" xfId="0" applyAlignment="1" applyBorder="1" applyFont="1" applyFill="1">
      <alignment horizontal="center" vertical="center"/>
    </xf>
    <xf numFmtId="0" fontId="3" fillId="0" borderId="14" xfId="0" applyAlignment="1" applyBorder="1" applyFont="1">
      <alignment horizontal="left" vertical="center"/>
    </xf>
    <xf numFmtId="0" fontId="3" fillId="0" borderId="15" xfId="0" applyAlignment="1" applyBorder="1" applyFont="1">
      <alignment horizontal="left" vertical="center"/>
    </xf>
    <xf numFmtId="0" fontId="3" fillId="8" borderId="16" xfId="0" applyAlignment="1" applyBorder="1" applyFont="1" applyFill="1">
      <alignment horizontal="center" vertical="center"/>
    </xf>
    <xf numFmtId="0" fontId="3" fillId="8" borderId="17" xfId="0" applyAlignment="1" applyBorder="1" applyFont="1" applyFill="1">
      <alignment horizontal="center" vertical="center"/>
    </xf>
    <xf numFmtId="0" fontId="3" fillId="0" borderId="15" xfId="0" applyAlignment="1" applyBorder="1" applyFont="1">
      <alignment horizontal="left" vertical="center" wrapText="1"/>
    </xf>
    <xf numFmtId="0" fontId="5" fillId="6" borderId="5" xfId="0" applyAlignment="1" applyBorder="1" applyFont="1" applyNumberFormat="1" applyFill="1">
      <alignment horizontal="center" vertical="center" wrapText="1"/>
    </xf>
    <xf numFmtId="44" fontId="7" fillId="10" borderId="5" xfId="0" applyAlignment="1" applyBorder="1" applyFont="1" applyNumberFormat="1" applyFill="1">
      <alignment horizontal="right" vertical="center"/>
    </xf>
    <xf numFmtId="44" fontId="0" fillId="0" borderId="0" xfId="0" applyAlignment="1" applyNumberFormat="1">
      <alignment horizontal="right"/>
    </xf>
    <xf numFmtId="0" fontId="12" fillId="0" borderId="5" xfId="0" applyAlignment="1" applyBorder="1" applyFont="1">
      <alignment horizontal="left"/>
    </xf>
    <xf numFmtId="44" fontId="0" fillId="0" borderId="5" xfId="0" applyAlignment="1" applyBorder="1" applyNumberFormat="1">
      <alignment horizontal="right"/>
    </xf>
    <xf numFmtId="164" fontId="0" fillId="0" borderId="5" xfId="0" applyAlignment="1" applyBorder="1" applyNumberFormat="1">
      <alignment horizontal="right"/>
    </xf>
    <xf numFmtId="165" fontId="0" fillId="0" borderId="5" xfId="0" applyAlignment="1" applyBorder="1" applyNumberFormat="1">
      <alignment horizontal="right"/>
    </xf>
    <xf numFmtId="166" fontId="0" fillId="0" borderId="0" xfId="0" applyAlignment="1" applyNumberFormat="1">
      <alignment horizontal="right"/>
    </xf>
    <xf numFmtId="0" fontId="14" fillId="0" borderId="0" xfId="1" applyFont="1"/>
    <xf numFmtId="0" fontId="13" fillId="11" borderId="0" xfId="1" applyFont="1" applyFill="1"/>
    <xf numFmtId="0" fontId="13" fillId="0" borderId="0" xfId="1" applyFont="1"/>
    <xf numFmtId="43" fontId="0" fillId="0" borderId="0" xfId="2" applyFont="1" applyNumberFormat="1"/>
    <xf numFmtId="0" fontId="16" fillId="12" borderId="0" xfId="1" applyFont="1" applyFill="1"/>
    <xf numFmtId="0" fontId="13" fillId="12" borderId="0" xfId="1" applyFont="1" applyFill="1"/>
    <xf numFmtId="0" fontId="17" fillId="11" borderId="0" xfId="1" applyFont="1" applyFill="1"/>
    <xf numFmtId="0" fontId="16" fillId="13" borderId="0" xfId="1" applyAlignment="1" applyFont="1" applyFill="1">
      <alignment wrapText="1"/>
    </xf>
    <xf numFmtId="0" fontId="13" fillId="0" borderId="0" xfId="1" applyAlignment="1" applyFont="1">
      <alignment wrapText="1"/>
    </xf>
    <xf numFmtId="167" fontId="13" fillId="0" borderId="0" xfId="3" applyFont="1" applyNumberFormat="1"/>
    <xf numFmtId="43" fontId="13" fillId="0" borderId="0" xfId="2" applyFont="1" applyNumberFormat="1"/>
    <xf numFmtId="4" fontId="13" fillId="0" borderId="0" xfId="1" applyAlignment="1" applyFont="1" applyNumberFormat="1">
      <alignment wrapText="1"/>
    </xf>
    <xf numFmtId="0" fontId="17" fillId="0" borderId="0" xfId="1" applyFont="1"/>
    <xf numFmtId="0" fontId="18" fillId="0" borderId="0" xfId="1" applyFont="1" applyFill="1"/>
    <xf numFmtId="9" fontId="13" fillId="0" borderId="0" xfId="3" applyFont="1" applyNumberFormat="1"/>
    <xf numFmtId="0" fontId="17" fillId="0" borderId="0" xfId="1" applyAlignment="1" applyFont="1">
      <alignment horizontal="center"/>
    </xf>
    <xf numFmtId="0" fontId="17" fillId="0" borderId="0" xfId="1" applyAlignment="1" applyFont="1">
      <alignment horizontal="right"/>
    </xf>
    <xf numFmtId="167" fontId="17" fillId="0" borderId="0" xfId="1" applyFont="1" applyNumberFormat="1"/>
    <xf numFmtId="0" fontId="17" fillId="14" borderId="0" xfId="1" applyFont="1" applyFill="1"/>
    <xf numFmtId="43" fontId="13" fillId="11" borderId="0" xfId="2" applyFont="1" applyNumberFormat="1" applyFill="1"/>
    <xf numFmtId="0" fontId="13" fillId="14" borderId="0" xfId="1" applyFont="1" applyFill="1"/>
    <xf numFmtId="43" fontId="17" fillId="11" borderId="0" xfId="2" applyFont="1" applyNumberFormat="1" applyFill="1"/>
    <xf numFmtId="43" fontId="13" fillId="0" borderId="0" xfId="1" applyFont="1" applyNumberFormat="1"/>
    <xf numFmtId="43" fontId="13" fillId="11" borderId="0" xfId="1" applyFont="1" applyNumberFormat="1" applyFill="1"/>
    <xf numFmtId="4" fontId="13" fillId="0" borderId="0" xfId="1" applyFont="1" applyNumberFormat="1"/>
    <xf numFmtId="9" fontId="13" fillId="0" borderId="0" xfId="1" applyFont="1" applyNumberFormat="1"/>
    <xf numFmtId="43" fontId="13" fillId="4" borderId="0" xfId="2" applyFont="1" applyNumberFormat="1" applyFill="1"/>
    <xf numFmtId="0" fontId="13" fillId="0" borderId="0" xfId="1" applyFont="1" applyFill="1"/>
    <xf numFmtId="43" fontId="19" fillId="15" borderId="0" xfId="2" applyFont="1" applyNumberFormat="1" applyFill="1"/>
    <xf numFmtId="43" fontId="18" fillId="15" borderId="0" xfId="1" applyFont="1" applyNumberFormat="1" applyFill="1"/>
    <xf numFmtId="43" fontId="20" fillId="0" borderId="0" xfId="1" applyFont="1" applyNumberFormat="1"/>
    <xf numFmtId="0" fontId="20" fillId="0" borderId="0" xfId="1" applyFont="1"/>
    <xf numFmtId="0" fontId="17" fillId="16" borderId="0" xfId="1" applyFont="1" applyFill="1"/>
    <xf numFmtId="0" fontId="17" fillId="0" borderId="0" xfId="1" applyFont="1" applyFill="1"/>
    <xf numFmtId="0" fontId="21" fillId="16" borderId="0" xfId="1" applyFont="1" applyFill="1"/>
    <xf numFmtId="0" fontId="21" fillId="0" borderId="0" xfId="1" applyFont="1"/>
    <xf numFmtId="0" fontId="21" fillId="0" borderId="0" xfId="1" applyFont="1" applyFill="1"/>
    <xf numFmtId="43" fontId="13" fillId="0" borderId="0" xfId="2" applyFont="1" applyNumberFormat="1" applyFill="1"/>
    <xf numFmtId="9" fontId="20" fillId="0" borderId="0" xfId="1" applyFont="1" applyNumberFormat="1"/>
    <xf numFmtId="0" fontId="22" fillId="0" borderId="0" xfId="1" applyAlignment="1" applyFont="1">
      <alignment horizontal="left" wrapText="1"/>
    </xf>
    <xf numFmtId="0" fontId="17" fillId="17" borderId="0" xfId="1" applyFont="1" applyFill="1"/>
    <xf numFmtId="0" fontId="13" fillId="17" borderId="0" xfId="1" applyFont="1" applyFill="1"/>
    <xf numFmtId="0" fontId="17" fillId="18" borderId="0" xfId="1" applyFont="1" applyFill="1"/>
    <xf numFmtId="0" fontId="13" fillId="18" borderId="0" xfId="1" applyFont="1" applyFill="1"/>
    <xf numFmtId="0" fontId="17" fillId="10" borderId="0" xfId="2" applyAlignment="1" applyBorder="1" applyFont="1" applyNumberFormat="1" applyFill="1">
      <alignment vertical="top"/>
    </xf>
    <xf numFmtId="43" fontId="13" fillId="15" borderId="0" xfId="2" applyFont="1" applyNumberFormat="1" applyFill="1"/>
    <xf numFmtId="0" fontId="23" fillId="0" borderId="0" xfId="1" applyFont="1"/>
    <xf numFmtId="0" fontId="17" fillId="0" borderId="0" xfId="2" applyAlignment="1" applyBorder="1" applyFont="1" applyNumberFormat="1" applyFill="1">
      <alignment vertical="top"/>
    </xf>
    <xf numFmtId="0" fontId="13" fillId="10" borderId="0" xfId="2" applyAlignment="1" applyBorder="1" applyFont="1" applyNumberFormat="1" applyFill="1">
      <alignment vertical="top"/>
    </xf>
    <xf numFmtId="0" fontId="13" fillId="0" borderId="0" xfId="1" applyAlignment="1" applyFont="1">
      <alignment vertical="top"/>
    </xf>
    <xf numFmtId="43" fontId="13" fillId="16" borderId="0" xfId="2" applyAlignment="1" applyBorder="1" applyFont="1" applyNumberFormat="1" applyFill="1">
      <alignment vertical="top"/>
    </xf>
    <xf numFmtId="0" fontId="13" fillId="0" borderId="0" xfId="1" applyAlignment="1" applyBorder="1" applyFont="1" applyNumberFormat="1" applyFill="1">
      <alignment vertical="top"/>
    </xf>
    <xf numFmtId="0" fontId="13" fillId="0" borderId="0" xfId="1" applyAlignment="1" applyBorder="1" applyFont="1" applyNumberFormat="1">
      <alignment vertical="top"/>
    </xf>
    <xf numFmtId="0" fontId="13" fillId="10" borderId="0" xfId="1" applyAlignment="1" applyBorder="1" applyFont="1" applyNumberFormat="1" applyFill="1">
      <alignment vertical="top"/>
    </xf>
    <xf numFmtId="0" fontId="13" fillId="0" borderId="0" xfId="1" applyAlignment="1" applyFont="1" applyNumberFormat="1" applyFill="1">
      <alignment vertical="top"/>
    </xf>
    <xf numFmtId="0" fontId="24" fillId="0" borderId="0" xfId="1" applyFont="1" applyFill="1"/>
    <xf numFmtId="0" fontId="13" fillId="0" borderId="18" xfId="1" applyAlignment="1" applyBorder="1" applyFont="1" applyNumberFormat="1" applyFill="1">
      <alignment vertical="top"/>
    </xf>
    <xf numFmtId="0" fontId="13" fillId="0" borderId="18" xfId="2" applyAlignment="1" applyBorder="1" applyFont="1" applyNumberFormat="1" applyFill="1">
      <alignment vertical="top"/>
    </xf>
    <xf numFmtId="0" fontId="13" fillId="0" borderId="0" xfId="1" applyAlignment="1" applyFont="1" applyNumberFormat="1">
      <alignment vertical="top"/>
    </xf>
    <xf numFmtId="0" fontId="17" fillId="16" borderId="0" xfId="2" applyAlignment="1" applyBorder="1" applyFont="1" applyNumberFormat="1" applyFill="1">
      <alignment vertical="top"/>
    </xf>
    <xf numFmtId="0" fontId="13" fillId="16" borderId="0" xfId="2" applyAlignment="1" applyBorder="1" applyFont="1" applyNumberFormat="1" applyFill="1">
      <alignment vertical="top"/>
    </xf>
    <xf numFmtId="49" fontId="13" fillId="16" borderId="0" xfId="1" applyAlignment="1" applyBorder="1" applyFont="1" applyNumberFormat="1" applyFill="1">
      <alignment vertical="top"/>
    </xf>
    <xf numFmtId="0" fontId="13" fillId="16" borderId="0" xfId="1" applyAlignment="1" applyBorder="1" applyFont="1" applyNumberFormat="1" applyFill="1">
      <alignment vertical="top"/>
    </xf>
    <xf numFmtId="49" fontId="13" fillId="10" borderId="0" xfId="1" applyAlignment="1" applyBorder="1" applyFont="1" applyNumberFormat="1" applyFill="1">
      <alignment vertical="top"/>
    </xf>
    <xf numFmtId="0" fontId="20" fillId="10" borderId="0" xfId="2" applyAlignment="1" applyBorder="1" applyFont="1" applyNumberFormat="1" applyFill="1">
      <alignment vertical="top"/>
    </xf>
    <xf numFmtId="0" fontId="17" fillId="14" borderId="0" xfId="2" applyAlignment="1" applyBorder="1" applyFont="1" applyNumberFormat="1" applyFill="1">
      <alignment vertical="top"/>
    </xf>
    <xf numFmtId="0" fontId="13" fillId="14" borderId="0" xfId="2" applyAlignment="1" applyBorder="1" applyFont="1" applyNumberFormat="1" applyFill="1">
      <alignment vertical="top"/>
    </xf>
    <xf numFmtId="0" fontId="13" fillId="14" borderId="0" xfId="2" applyAlignment="1" applyBorder="1" applyFont="1" applyNumberFormat="1" applyFill="1">
      <alignment horizontal="left" vertical="top"/>
    </xf>
    <xf numFmtId="0" fontId="13" fillId="10" borderId="0" xfId="2" applyAlignment="1" applyBorder="1" applyFont="1" applyNumberFormat="1" applyFill="1">
      <alignment horizontal="left" vertical="top"/>
    </xf>
    <xf numFmtId="0" fontId="13" fillId="14" borderId="0" xfId="1" applyAlignment="1" applyBorder="1" applyFont="1" applyNumberFormat="1" applyFill="1">
      <alignment vertical="top"/>
    </xf>
    <xf numFmtId="0" fontId="13" fillId="0" borderId="0" xfId="2" applyAlignment="1" applyBorder="1" applyFont="1" applyNumberFormat="1" applyFill="1">
      <alignment vertical="top"/>
    </xf>
    <xf numFmtId="0" fontId="17" fillId="19" borderId="0" xfId="1" applyAlignment="1" applyBorder="1" applyFont="1" applyNumberFormat="1" applyFill="1">
      <alignment vertical="top"/>
    </xf>
    <xf numFmtId="0" fontId="17" fillId="0" borderId="0" xfId="1" applyAlignment="1" applyBorder="1" applyFont="1" applyNumberFormat="1" applyFill="1">
      <alignment vertical="top"/>
    </xf>
    <xf numFmtId="0" fontId="13" fillId="19" borderId="0" xfId="1" applyAlignment="1" applyBorder="1" applyFont="1" applyNumberFormat="1" applyFill="1">
      <alignment vertical="top"/>
    </xf>
    <xf numFmtId="0" fontId="13" fillId="19" borderId="0" xfId="2" applyAlignment="1" applyBorder="1" applyFont="1" applyNumberFormat="1" applyFill="1">
      <alignment vertical="top"/>
    </xf>
    <xf numFmtId="0" fontId="25" fillId="19" borderId="0" xfId="1" applyAlignment="1" applyBorder="1" applyFont="1" applyNumberFormat="1" applyFill="1">
      <alignment vertical="top"/>
    </xf>
    <xf numFmtId="0" fontId="26" fillId="19" borderId="0" xfId="1" applyAlignment="1" applyBorder="1" applyFont="1" applyNumberFormat="1" applyFill="1">
      <alignment vertical="top"/>
    </xf>
    <xf numFmtId="0" fontId="21" fillId="19" borderId="0" xfId="1" applyAlignment="1" applyBorder="1" applyFont="1" applyNumberFormat="1" applyFill="1">
      <alignment vertical="top"/>
    </xf>
    <xf numFmtId="0" fontId="13" fillId="0" borderId="0" xfId="1" applyAlignment="1" applyBorder="1" applyFont="1" applyNumberFormat="1" applyFill="1" quotePrefix="1">
      <alignment horizontal="left" vertical="top"/>
    </xf>
    <xf numFmtId="0" fontId="17" fillId="20" borderId="0" xfId="2" applyAlignment="1" applyBorder="1" applyFont="1" applyNumberFormat="1" applyFill="1">
      <alignment vertical="top"/>
    </xf>
    <xf numFmtId="0" fontId="13" fillId="20" borderId="0" xfId="1" applyFont="1" applyFill="1"/>
    <xf numFmtId="49" fontId="21" fillId="20" borderId="0" xfId="1" applyAlignment="1" applyBorder="1" applyFont="1" applyNumberFormat="1" applyFill="1">
      <alignment vertical="top"/>
    </xf>
    <xf numFmtId="49" fontId="13" fillId="20" borderId="0" xfId="1" applyAlignment="1" applyBorder="1" applyFont="1" applyNumberFormat="1" applyFill="1">
      <alignment vertical="top"/>
    </xf>
    <xf numFmtId="49" fontId="13" fillId="20" borderId="0" xfId="1" applyAlignment="1" applyBorder="1" applyFont="1" applyNumberFormat="1" applyFill="1">
      <alignment vertical="top" wrapText="1"/>
    </xf>
    <xf numFmtId="0" fontId="13" fillId="0" borderId="0" xfId="1" applyAlignment="1" applyBorder="1" applyFont="1" applyNumberFormat="1" applyFill="1">
      <alignment vertical="top" wrapText="1"/>
    </xf>
    <xf numFmtId="49" fontId="21" fillId="20" borderId="0" xfId="1" applyAlignment="1" applyBorder="1" applyFont="1" applyNumberFormat="1" applyFill="1">
      <alignment vertical="top" wrapText="1"/>
    </xf>
    <xf numFmtId="49" fontId="25" fillId="20" borderId="0" xfId="1" applyAlignment="1" applyBorder="1" applyFont="1" applyNumberFormat="1" applyFill="1">
      <alignment vertical="top" wrapText="1"/>
    </xf>
    <xf numFmtId="49" fontId="13" fillId="0" borderId="0" xfId="1" applyAlignment="1" applyBorder="1" applyFont="1" applyNumberFormat="1" applyFill="1">
      <alignment vertical="top"/>
    </xf>
    <xf numFmtId="0" fontId="13" fillId="0" borderId="0" xfId="1" applyAlignment="1" applyBorder="1" applyFont="1" applyNumberFormat="1">
      <alignment vertical="top" wrapText="1"/>
    </xf>
    <xf numFmtId="49" fontId="17" fillId="11" borderId="0" xfId="1" applyAlignment="1" applyBorder="1" applyFont="1" applyNumberFormat="1" applyFill="1">
      <alignment vertical="top"/>
    </xf>
    <xf numFmtId="49" fontId="17" fillId="0" borderId="0" xfId="1" applyAlignment="1" applyBorder="1" applyFont="1" applyNumberFormat="1" applyFill="1">
      <alignment vertical="top"/>
    </xf>
    <xf numFmtId="49" fontId="13" fillId="11" borderId="0" xfId="1" applyAlignment="1" applyBorder="1" applyFont="1" applyNumberFormat="1" applyFill="1">
      <alignment vertical="top"/>
    </xf>
    <xf numFmtId="0" fontId="13" fillId="11" borderId="0" xfId="1" applyAlignment="1" applyBorder="1" applyFont="1" applyNumberFormat="1" applyFill="1">
      <alignment vertical="top"/>
    </xf>
    <xf numFmtId="0" fontId="13" fillId="11" borderId="0" xfId="1" applyAlignment="1" applyBorder="1" applyFont="1" applyFill="1">
      <alignment vertical="top"/>
    </xf>
    <xf numFmtId="49" fontId="17" fillId="21" borderId="0" xfId="1" applyAlignment="1" applyBorder="1" applyFont="1" applyNumberFormat="1" applyFill="1">
      <alignment vertical="top"/>
    </xf>
    <xf numFmtId="49" fontId="13" fillId="21" borderId="0" xfId="1" applyAlignment="1" applyBorder="1" applyFont="1" applyNumberFormat="1" applyFill="1">
      <alignment vertical="top"/>
    </xf>
    <xf numFmtId="0" fontId="17" fillId="9" borderId="0" xfId="1" applyFont="1" applyFill="1"/>
    <xf numFmtId="49" fontId="13" fillId="9" borderId="0" xfId="1" applyAlignment="1" applyBorder="1" applyFont="1" applyNumberFormat="1" applyFill="1">
      <alignment vertical="top"/>
    </xf>
    <xf numFmtId="0" fontId="13" fillId="0" borderId="0" xfId="1" applyAlignment="1" applyFont="1" applyFill="1">
      <alignment vertical="top"/>
    </xf>
    <xf numFmtId="0" fontId="13" fillId="9" borderId="0" xfId="1" applyAlignment="1" applyBorder="1" applyFont="1" applyFill="1">
      <alignment vertical="top"/>
    </xf>
    <xf numFmtId="0" fontId="17" fillId="22" borderId="0" xfId="1" applyFont="1" applyFill="1"/>
    <xf numFmtId="49" fontId="21" fillId="22" borderId="0" xfId="1" applyAlignment="1" applyBorder="1" applyFont="1" applyNumberFormat="1" applyFill="1">
      <alignment vertical="top"/>
    </xf>
    <xf numFmtId="0" fontId="17" fillId="23" borderId="0" xfId="1" applyAlignment="1" applyFont="1" applyFill="1">
      <alignment wrapText="1"/>
    </xf>
    <xf numFmtId="0" fontId="17" fillId="0" borderId="0" xfId="1" applyAlignment="1" applyFont="1" applyFill="1">
      <alignment wrapText="1"/>
    </xf>
    <xf numFmtId="0" fontId="13" fillId="23" borderId="0" xfId="1" applyFont="1" applyFill="1"/>
    <xf numFmtId="0" fontId="13" fillId="21" borderId="0" xfId="1" applyFont="1" applyFill="1"/>
    <xf numFmtId="43" fontId="13" fillId="4" borderId="0" xfId="1" applyFont="1" applyNumberFormat="1" applyFill="1"/>
    <xf numFmtId="43" fontId="13" fillId="4" borderId="0" xfId="1" applyAlignment="1" applyFont="1" applyNumberFormat="1" applyFill="1">
      <alignment horizontal="right"/>
    </xf>
    <xf numFmtId="0" fontId="21" fillId="23" borderId="0" xfId="1" applyFont="1" applyFill="1"/>
    <xf numFmtId="0" fontId="25" fillId="23" borderId="0" xfId="1" applyFont="1" applyFill="1"/>
    <xf numFmtId="0" fontId="17" fillId="24" borderId="0" xfId="1" applyBorder="1" applyFont="1" applyFill="1"/>
    <xf numFmtId="0" fontId="17" fillId="0" borderId="0" xfId="1" applyBorder="1" applyFont="1" applyFill="1"/>
    <xf numFmtId="168" fontId="21" fillId="13" borderId="0" xfId="1" applyBorder="1" applyFont="1" applyNumberFormat="1" applyFill="1"/>
    <xf numFmtId="168" fontId="21" fillId="25" borderId="0" xfId="1" applyBorder="1" applyFont="1" applyNumberFormat="1" applyFill="1"/>
    <xf numFmtId="43" fontId="13" fillId="0" borderId="13" xfId="2" applyBorder="1" applyFont="1" applyNumberFormat="1"/>
    <xf numFmtId="168" fontId="23" fillId="9" borderId="0" xfId="1" applyBorder="1" applyFont="1" applyNumberFormat="1" applyFill="1"/>
    <xf numFmtId="43" fontId="13" fillId="0" borderId="0" xfId="2" applyBorder="1" applyFont="1" applyNumberFormat="1"/>
    <xf numFmtId="168" fontId="21" fillId="9" borderId="0" xfId="1" applyBorder="1" applyFont="1" applyNumberFormat="1" applyFill="1"/>
    <xf numFmtId="0" fontId="17" fillId="26" borderId="0" xfId="1" applyFont="1" applyFill="1"/>
    <xf numFmtId="1" fontId="22" fillId="26" borderId="0" xfId="1" applyAlignment="1" applyBorder="1" applyFont="1" applyNumberFormat="1" applyFill="1">
      <alignment horizontal="left" vertical="top" wrapText="1"/>
    </xf>
    <xf numFmtId="43" fontId="0" fillId="0" borderId="0" xfId="2" applyBorder="1" applyFont="1" applyNumberFormat="1"/>
    <xf numFmtId="1" fontId="32" fillId="26" borderId="0" xfId="1" applyAlignment="1" applyBorder="1" applyFont="1" applyNumberFormat="1" applyFill="1">
      <alignment horizontal="left" vertical="top" wrapText="1"/>
    </xf>
    <xf numFmtId="0" fontId="36" fillId="7" borderId="19" xfId="0" applyAlignment="1" applyBorder="1" applyFont="1" applyFill="1">
      <alignment horizontal="left"/>
    </xf>
    <xf numFmtId="0" fontId="0" fillId="7" borderId="19" xfId="0" applyAlignment="1" applyBorder="1" applyFill="1">
      <alignment horizontal="left"/>
    </xf>
    <xf numFmtId="1" fontId="3" fillId="0" borderId="5" xfId="0" applyAlignment="1" applyBorder="1" applyFont="1" applyNumberFormat="1" applyFill="1" applyProtection="1">
      <alignment horizontal="center" vertical="center" wrapText="1"/>
      <protection hidden="1" locked="0"/>
    </xf>
    <xf numFmtId="0" fontId="3" fillId="0" borderId="0" xfId="0" applyAlignment="1" applyFont="1" applyProtection="1">
      <alignment horizontal="left" vertical="center"/>
      <protection locked="0"/>
    </xf>
    <xf numFmtId="0" fontId="3" fillId="0" borderId="0" xfId="0" applyAlignment="1" applyFont="1" applyProtection="1">
      <alignment horizontal="center" vertical="center"/>
      <protection locked="0"/>
    </xf>
    <xf numFmtId="8" fontId="7" fillId="0" borderId="0" xfId="0" applyAlignment="1" applyBorder="1" applyFont="1" applyNumberFormat="1" applyFill="1" applyProtection="1">
      <alignment horizontal="left" vertical="center"/>
      <protection locked="0"/>
    </xf>
    <xf numFmtId="8" fontId="7" fillId="0" borderId="0" xfId="0" applyAlignment="1" applyBorder="1" applyFont="1" applyNumberFormat="1" applyFill="1" applyProtection="1">
      <alignment horizontal="center" vertical="center"/>
      <protection locked="0"/>
    </xf>
    <xf numFmtId="0" fontId="6" fillId="0" borderId="0" xfId="0" applyAlignment="1" applyBorder="1" applyFont="1" applyFill="1" applyProtection="1">
      <alignment horizontal="center" vertical="center"/>
      <protection locked="0"/>
    </xf>
    <xf numFmtId="0" fontId="9" fillId="0" borderId="0" xfId="0" applyAlignment="1" applyBorder="1" applyFont="1" applyFill="1" applyProtection="1">
      <alignment horizontal="left" vertical="center" wrapText="1"/>
      <protection locked="0"/>
    </xf>
    <xf numFmtId="0" fontId="3" fillId="0" borderId="0" xfId="0" applyAlignment="1" applyBorder="1" applyFont="1" applyFill="1" applyProtection="1">
      <alignment horizontal="center" vertical="center"/>
      <protection locked="0"/>
    </xf>
    <xf numFmtId="0" fontId="37" fillId="0" borderId="0" xfId="0" applyFont="1"/>
    <xf numFmtId="0" fontId="0" fillId="0" borderId="0" xfId="0" applyAlignment="1" applyBorder="1">
      <alignment horizontal="left"/>
    </xf>
    <xf numFmtId="0" fontId="0" fillId="0" borderId="0" xfId="0" applyAlignment="1" applyBorder="1">
      <alignment horizontal="right"/>
    </xf>
    <xf numFmtId="0" fontId="8" fillId="0" borderId="0" xfId="0" applyAlignment="1" applyBorder="1" applyFont="1" applyFill="1">
      <alignment horizontal="left" vertical="center" wrapText="1"/>
    </xf>
    <xf numFmtId="0" fontId="8" fillId="0" borderId="0" xfId="0" applyAlignment="1" applyBorder="1" applyFont="1" applyFill="1">
      <alignment horizontal="left" vertical="center"/>
    </xf>
    <xf numFmtId="0" fontId="8" fillId="0" borderId="0" xfId="0" applyAlignment="1" applyBorder="1" applyFont="1" applyFill="1">
      <alignment horizontal="left"/>
    </xf>
    <xf numFmtId="44" fontId="8" fillId="0" borderId="0" xfId="0" applyAlignment="1" applyBorder="1" applyFont="1" applyNumberFormat="1" applyFill="1">
      <alignment horizontal="right" wrapText="1"/>
    </xf>
    <xf numFmtId="44" fontId="0" fillId="0" borderId="0" xfId="0" applyAlignment="1" applyBorder="1" applyNumberFormat="1">
      <alignment horizontal="right"/>
    </xf>
    <xf numFmtId="0" fontId="12" fillId="0" borderId="0" xfId="0" applyAlignment="1" applyBorder="1" applyFont="1">
      <alignment horizontal="left"/>
    </xf>
    <xf numFmtId="165" fontId="0" fillId="0" borderId="0" xfId="0" applyAlignment="1" applyBorder="1" applyNumberFormat="1">
      <alignment horizontal="right"/>
    </xf>
    <xf numFmtId="164" fontId="0" fillId="0" borderId="0" xfId="0" applyAlignment="1" applyBorder="1" applyNumberFormat="1">
      <alignment horizontal="right"/>
    </xf>
    <xf numFmtId="0" fontId="38" fillId="0" borderId="0" xfId="0" applyAlignment="1" applyFont="1">
      <alignment horizontal="left"/>
    </xf>
    <xf numFmtId="0" fontId="39" fillId="0" borderId="5" xfId="0" applyAlignment="1" applyBorder="1" applyFont="1" applyFill="1">
      <alignment horizontal="left" vertical="center" wrapText="1"/>
    </xf>
    <xf numFmtId="0" fontId="39" fillId="0" borderId="5" xfId="0" applyAlignment="1" applyBorder="1" applyFont="1" applyFill="1">
      <alignment horizontal="left" vertical="center"/>
    </xf>
    <xf numFmtId="0" fontId="39" fillId="0" borderId="5" xfId="0" applyAlignment="1" applyBorder="1" applyFont="1" applyFill="1">
      <alignment horizontal="left"/>
    </xf>
    <xf numFmtId="44" fontId="39" fillId="0" borderId="5" xfId="0" applyAlignment="1" applyBorder="1" applyFont="1" applyNumberFormat="1" applyFill="1">
      <alignment horizontal="right" vertical="center" wrapText="1"/>
    </xf>
    <xf numFmtId="44" fontId="39" fillId="0" borderId="5" xfId="0" applyAlignment="1" applyBorder="1" applyFont="1" applyNumberFormat="1" applyFill="1">
      <alignment horizontal="right" wrapText="1"/>
    </xf>
    <xf numFmtId="0" fontId="0" fillId="0" borderId="20" xfId="0" applyBorder="1"/>
    <xf numFmtId="0" fontId="0" fillId="0" borderId="11" xfId="0" applyBorder="1"/>
    <xf numFmtId="0" fontId="0" fillId="0" borderId="12" xfId="0" applyBorder="1"/>
    <xf numFmtId="0" fontId="15" fillId="0" borderId="21" xfId="0" applyBorder="1" applyFont="1"/>
    <xf numFmtId="0" fontId="0" fillId="0" borderId="0" xfId="0" applyBorder="1"/>
    <xf numFmtId="0" fontId="17" fillId="0" borderId="0" xfId="0" applyBorder="1" applyFont="1"/>
    <xf numFmtId="0" fontId="0" fillId="0" borderId="13" xfId="0" applyBorder="1"/>
    <xf numFmtId="0" fontId="0" fillId="0" borderId="21" xfId="0" applyBorder="1"/>
    <xf numFmtId="0" fontId="17" fillId="0" borderId="21" xfId="0" applyBorder="1" applyFont="1"/>
    <xf numFmtId="0" fontId="17" fillId="0" borderId="0" xfId="0" applyAlignment="1" applyBorder="1" applyFont="1">
      <alignment horizontal="right"/>
    </xf>
    <xf numFmtId="0" fontId="17" fillId="0" borderId="0" xfId="0" applyBorder="1" applyFont="1" applyNumberFormat="1"/>
    <xf numFmtId="0" fontId="17" fillId="0" borderId="0" xfId="0" applyFont="1"/>
    <xf numFmtId="0" fontId="17" fillId="16" borderId="0" xfId="0" applyBorder="1" applyFont="1" applyFill="1" applyProtection="1">
      <protection locked="0"/>
    </xf>
    <xf numFmtId="14" fontId="17" fillId="16" borderId="0" xfId="0" applyBorder="1" applyFont="1" applyNumberFormat="1" applyFill="1" applyProtection="1">
      <protection locked="0"/>
    </xf>
    <xf numFmtId="0" fontId="17" fillId="16" borderId="13" xfId="0" applyBorder="1" applyFont="1" applyFill="1" applyProtection="1">
      <protection locked="0"/>
    </xf>
    <xf numFmtId="0" fontId="17" fillId="0" borderId="13" xfId="0" applyBorder="1" applyFont="1"/>
    <xf numFmtId="0" fontId="0" fillId="0" borderId="0" xfId="0" applyBorder="1" applyFill="1"/>
    <xf numFmtId="0" fontId="0" fillId="0" borderId="22" xfId="0" applyBorder="1"/>
    <xf numFmtId="0" fontId="0" fillId="0" borderId="18" xfId="0" applyBorder="1"/>
    <xf numFmtId="0" fontId="0" fillId="0" borderId="23" xfId="0" applyBorder="1"/>
    <xf numFmtId="44" fontId="39" fillId="0" borderId="0" xfId="0" applyAlignment="1" applyBorder="1" applyFont="1" applyNumberFormat="1" applyFill="1">
      <alignment horizontal="right" vertical="center" wrapText="1"/>
    </xf>
    <xf numFmtId="0" fontId="39" fillId="0" borderId="0" xfId="0" applyAlignment="1" applyBorder="1" applyFont="1" applyFill="1">
      <alignment horizontal="left" vertical="center"/>
    </xf>
    <xf numFmtId="0" fontId="39" fillId="0" borderId="0" xfId="0" applyAlignment="1" applyBorder="1" applyFont="1" applyFill="1">
      <alignment horizontal="left"/>
    </xf>
    <xf numFmtId="44" fontId="39" fillId="0" borderId="0" xfId="0" applyAlignment="1" applyBorder="1" applyFont="1" applyNumberFormat="1" applyFill="1">
      <alignment horizontal="right" wrapText="1"/>
    </xf>
    <xf numFmtId="166" fontId="0" fillId="0" borderId="0" xfId="0" applyAlignment="1" applyBorder="1" applyNumberFormat="1">
      <alignment horizontal="right"/>
    </xf>
    <xf numFmtId="0" fontId="2" fillId="0" borderId="5" xfId="0" applyAlignment="1" applyBorder="1" applyFont="1" applyFill="1" applyProtection="1">
      <alignment horizontal="center" wrapText="1"/>
      <protection locked="0"/>
    </xf>
    <xf numFmtId="7" fontId="5" fillId="6" borderId="5" xfId="0" applyAlignment="1" applyBorder="1" applyFont="1" applyNumberFormat="1" applyFill="1">
      <alignment horizontal="center" vertical="center" wrapText="1"/>
    </xf>
    <xf numFmtId="0" fontId="0" fillId="0" borderId="5" xfId="0" applyAlignment="1" applyBorder="1">
      <alignment horizontal="left"/>
    </xf>
    <xf numFmtId="0" fontId="37" fillId="0" borderId="0" xfId="0" applyAlignment="1" applyFont="1">
      <alignment horizontal="left"/>
    </xf>
    <xf numFmtId="0" fontId="40" fillId="0" borderId="0" xfId="0" applyAlignment="1" applyFont="1">
      <alignment horizontal="left"/>
    </xf>
    <xf numFmtId="0" fontId="41" fillId="0" borderId="0" xfId="0" applyAlignment="1" applyFont="1">
      <alignment horizontal="right"/>
    </xf>
    <xf numFmtId="0" fontId="42" fillId="11" borderId="0" xfId="1" applyFont="1" applyFill="1"/>
    <xf numFmtId="44" fontId="3" fillId="0" borderId="0" xfId="0" applyAlignment="1" applyFont="1" applyNumberFormat="1">
      <alignment horizontal="center" vertical="center"/>
    </xf>
    <xf numFmtId="44" fontId="0" fillId="0" borderId="0" xfId="0" applyNumberFormat="1"/>
    <xf numFmtId="0" fontId="43" fillId="0" borderId="0" xfId="0" applyFont="1"/>
    <xf numFmtId="49" fontId="0" fillId="0" borderId="0" xfId="0" applyNumberFormat="1"/>
    <xf numFmtId="43" fontId="0" fillId="0" borderId="0" xfId="5" applyFont="1" applyNumberFormat="1"/>
    <xf numFmtId="49" fontId="37" fillId="0" borderId="0" xfId="0" applyFont="1" applyNumberFormat="1"/>
    <xf numFmtId="169" fontId="0" fillId="0" borderId="0" xfId="0" applyNumberFormat="1"/>
    <xf numFmtId="0" fontId="37" fillId="0" borderId="5" xfId="0" applyAlignment="1" applyBorder="1" applyFont="1">
      <alignment horizontal="right"/>
    </xf>
    <xf numFmtId="49" fontId="37" fillId="0" borderId="5" xfId="0" applyAlignment="1" applyBorder="1" applyFont="1" applyNumberFormat="1">
      <alignment horizontal="right"/>
    </xf>
    <xf numFmtId="43" fontId="37" fillId="0" borderId="5" xfId="5" applyAlignment="1" applyBorder="1" applyFont="1" applyNumberFormat="1">
      <alignment horizontal="right"/>
    </xf>
    <xf numFmtId="0" fontId="37" fillId="0" borderId="5" xfId="0" applyBorder="1" applyFont="1"/>
    <xf numFmtId="0" fontId="0" fillId="0" borderId="5" xfId="0" applyBorder="1"/>
    <xf numFmtId="169" fontId="0" fillId="0" borderId="5" xfId="0" applyBorder="1" applyNumberFormat="1"/>
    <xf numFmtId="43" fontId="0" fillId="0" borderId="5" xfId="5" applyBorder="1" applyFont="1" applyNumberFormat="1"/>
    <xf numFmtId="44" fontId="44" fillId="0" borderId="0" xfId="0" applyFont="1" applyNumberFormat="1"/>
    <xf numFmtId="0" fontId="44" fillId="0" borderId="0" xfId="0" applyAlignment="1" applyBorder="1" applyFont="1" applyFill="1">
      <alignment horizontal="left" vertical="center" wrapText="1"/>
    </xf>
    <xf numFmtId="44" fontId="8" fillId="0" borderId="5" xfId="0" applyAlignment="1" applyBorder="1" applyFont="1" applyNumberFormat="1" applyFill="1">
      <alignment horizontal="right" wrapText="1"/>
    </xf>
    <xf numFmtId="7" fontId="8" fillId="0" borderId="5" xfId="0" applyAlignment="1" applyBorder="1" applyFont="1" applyNumberFormat="1" applyFill="1">
      <alignment horizontal="right" wrapText="1"/>
    </xf>
    <xf numFmtId="44" fontId="0" fillId="0" borderId="0" xfId="0" applyAlignment="1" applyNumberFormat="1" applyFill="1">
      <alignment horizontal="right"/>
    </xf>
    <xf numFmtId="44" fontId="0" fillId="0" borderId="5" xfId="0" applyAlignment="1" applyBorder="1" applyNumberFormat="1" applyFill="1">
      <alignment horizontal="right"/>
    </xf>
    <xf numFmtId="165" fontId="0" fillId="0" borderId="5" xfId="0" applyAlignment="1" applyBorder="1" applyNumberFormat="1" applyFill="1">
      <alignment horizontal="right"/>
    </xf>
    <xf numFmtId="164" fontId="0" fillId="0" borderId="5" xfId="0" applyAlignment="1" applyBorder="1" applyNumberFormat="1" applyFill="1">
      <alignment horizontal="right"/>
    </xf>
    <xf numFmtId="0" fontId="0" fillId="0" borderId="0" xfId="0" applyAlignment="1" applyFill="1">
      <alignment horizontal="right"/>
    </xf>
    <xf numFmtId="7" fontId="3" fillId="0" borderId="0" xfId="0" applyAlignment="1" applyFont="1" applyNumberFormat="1">
      <alignment horizontal="center" vertical="center"/>
    </xf>
    <xf numFmtId="44" fontId="0" fillId="27" borderId="0" xfId="0" applyNumberFormat="1" applyFill="1"/>
    <xf numFmtId="14" fontId="0" fillId="0" borderId="0" xfId="0" applyNumberFormat="1"/>
    <xf numFmtId="44" fontId="46" fillId="0" borderId="0" xfId="0" applyAlignment="1" applyBorder="1" applyFont="1" applyNumberFormat="1" applyFill="1">
      <alignment horizontal="right" vertical="center" wrapText="1"/>
    </xf>
    <xf numFmtId="0" fontId="47" fillId="0" borderId="0" xfId="0" applyFont="1" applyFill="1"/>
    <xf numFmtId="0" fontId="48" fillId="0" borderId="5" xfId="0" applyAlignment="1" applyBorder="1" applyFont="1" applyFill="1">
      <alignment horizontal="right" wrapText="1"/>
    </xf>
    <xf numFmtId="0" fontId="48" fillId="0" borderId="5" xfId="0" applyAlignment="1" applyBorder="1" applyFont="1">
      <alignment wrapText="1"/>
    </xf>
    <xf numFmtId="169" fontId="44" fillId="0" borderId="5" xfId="0" applyBorder="1" applyFont="1" applyNumberFormat="1"/>
    <xf numFmtId="0" fontId="44" fillId="0" borderId="5" xfId="0" applyBorder="1" applyFont="1"/>
    <xf numFmtId="1" fontId="0" fillId="0" borderId="5" xfId="0" applyAlignment="1" applyBorder="1" applyNumberFormat="1" applyProtection="1">
      <alignment horizontal="left"/>
      <protection locked="0"/>
    </xf>
    <xf numFmtId="0" fontId="49" fillId="0" borderId="0" xfId="0" applyFont="1"/>
    <xf numFmtId="0" fontId="50" fillId="0" borderId="0" xfId="0" applyAlignment="1" applyFont="1">
      <alignment horizontal="center" vertical="center"/>
    </xf>
    <xf numFmtId="44" fontId="51" fillId="0" borderId="0" xfId="0" applyAlignment="1" applyBorder="1" applyFont="1" applyNumberFormat="1" applyFill="1">
      <alignment horizontal="center" vertical="center" wrapText="1"/>
    </xf>
    <xf numFmtId="0" fontId="50" fillId="0" borderId="0" xfId="0" applyFont="1"/>
    <xf numFmtId="8" fontId="3" fillId="0" borderId="0" xfId="0" applyAlignment="1" applyFont="1" applyNumberFormat="1">
      <alignment horizontal="center" vertical="center"/>
    </xf>
    <xf numFmtId="44" fontId="47" fillId="0" borderId="5" xfId="0" applyAlignment="1" applyBorder="1" applyFont="1" applyNumberFormat="1" applyFill="1">
      <alignment horizontal="right" vertical="center" wrapText="1"/>
    </xf>
    <xf numFmtId="0" fontId="3" fillId="7" borderId="7" xfId="0" applyAlignment="1" applyBorder="1" applyFont="1" applyFill="1" applyProtection="1">
      <alignment horizontal="center" vertical="center" wrapText="1"/>
      <protection locked="0"/>
    </xf>
    <xf numFmtId="0" fontId="3" fillId="7" borderId="5" xfId="0" applyAlignment="1" applyBorder="1" applyFont="1" applyFill="1" applyProtection="1">
      <alignment vertical="top" wrapText="1"/>
      <protection locked="0"/>
    </xf>
    <xf numFmtId="7" fontId="3" fillId="28" borderId="5" xfId="0" applyAlignment="1" applyBorder="1" applyFont="1" applyNumberFormat="1" applyFill="1" applyProtection="1">
      <alignment horizontal="center" vertical="center" wrapText="1"/>
      <protection locked="0"/>
    </xf>
    <xf numFmtId="0" fontId="5" fillId="0" borderId="0" xfId="0" applyFont="1"/>
    <xf numFmtId="7" fontId="39" fillId="0" borderId="5" xfId="0" applyAlignment="1" applyBorder="1" applyFont="1" applyNumberFormat="1" applyFill="1">
      <alignment horizontal="right" wrapText="1"/>
    </xf>
    <xf numFmtId="7" fontId="3" fillId="0" borderId="0" xfId="0" applyBorder="1" applyFont="1" applyNumberFormat="1" applyFill="1"/>
    <xf numFmtId="0" fontId="0" fillId="0" borderId="0" xfId="0" applyAlignment="1">
      <alignment wrapText="1"/>
    </xf>
    <xf numFmtId="0" fontId="47" fillId="0" borderId="5" xfId="0" applyAlignment="1" applyBorder="1" applyFont="1">
      <alignment horizontal="left"/>
    </xf>
    <xf numFmtId="0" fontId="0" fillId="0" borderId="0" xfId="0" applyAlignment="1" applyBorder="1" applyFill="1">
      <alignment horizontal="left"/>
    </xf>
    <xf numFmtId="0" fontId="3" fillId="0" borderId="0" xfId="0" applyAlignment="1" applyFont="1">
      <alignment horizontal="center" vertical="center" wrapText="1"/>
    </xf>
    <xf numFmtId="0" fontId="7" fillId="29" borderId="5" xfId="0" applyAlignment="1" applyBorder="1" applyFont="1" applyFill="1">
      <alignment horizontal="center" vertical="center" wrapText="1"/>
    </xf>
    <xf numFmtId="0" fontId="3" fillId="29" borderId="5" xfId="0" applyAlignment="1" applyBorder="1" applyFont="1" applyFill="1" applyProtection="1">
      <alignment horizontal="center" vertical="center"/>
      <protection locked="0"/>
    </xf>
    <xf numFmtId="0" fontId="3" fillId="29" borderId="0" xfId="0" applyFont="1" applyFill="1" quotePrefix="1"/>
    <xf numFmtId="7" fontId="3" fillId="6" borderId="24" xfId="0" applyAlignment="1" applyBorder="1" applyFont="1" applyNumberFormat="1" applyFill="1" applyProtection="1">
      <alignment horizontal="center" vertical="center" wrapText="1"/>
      <protection locked="0"/>
    </xf>
    <xf numFmtId="43" fontId="5" fillId="6" borderId="5" xfId="5" applyAlignment="1" applyBorder="1" applyFont="1" applyNumberFormat="1" applyFill="1">
      <alignment horizontal="right" vertical="center" wrapText="1"/>
    </xf>
    <xf numFmtId="0" fontId="0" fillId="30" borderId="25" xfId="0" applyBorder="1" applyFill="1"/>
    <xf numFmtId="0" fontId="0" fillId="30" borderId="24" xfId="0" applyBorder="1" applyFill="1"/>
    <xf numFmtId="0" fontId="62" fillId="0" borderId="0" xfId="0" applyAlignment="1" applyFont="1" applyFill="1">
      <alignment horizontal="center" vertical="center"/>
    </xf>
    <xf numFmtId="14" fontId="37" fillId="0" borderId="0" xfId="0" applyFont="1" applyNumberFormat="1"/>
    <xf numFmtId="0" fontId="44" fillId="0" borderId="0" xfId="0" applyFont="1"/>
    <xf numFmtId="44" fontId="0" fillId="31" borderId="0" xfId="0" applyNumberFormat="1" applyFill="1"/>
    <xf numFmtId="44" fontId="0" fillId="32" borderId="0" xfId="0" applyNumberFormat="1" applyFill="1"/>
    <xf numFmtId="7" fontId="0" fillId="32" borderId="0" xfId="0" applyNumberFormat="1" applyFill="1"/>
    <xf numFmtId="44" fontId="0" fillId="32" borderId="26" xfId="0" applyBorder="1" applyNumberFormat="1" applyFill="1"/>
    <xf numFmtId="0" fontId="3" fillId="0" borderId="4" xfId="0" applyAlignment="1" applyBorder="1" applyFont="1" applyProtection="1">
      <alignment horizontal="left" vertical="center" wrapText="1"/>
      <protection locked="0"/>
    </xf>
    <xf numFmtId="0" fontId="3" fillId="0" borderId="5" xfId="0" applyAlignment="1" applyBorder="1" applyFont="1" applyProtection="1">
      <alignment horizontal="center" vertical="center"/>
      <protection locked="0"/>
    </xf>
    <xf numFmtId="0" fontId="5" fillId="0" borderId="5" xfId="0" applyAlignment="1" applyBorder="1" applyFont="1" applyProtection="1">
      <alignment horizontal="center" vertical="center"/>
      <protection locked="0"/>
    </xf>
    <xf numFmtId="0" fontId="0" fillId="32" borderId="0" xfId="0" applyFill="1"/>
    <xf numFmtId="0" fontId="44" fillId="0" borderId="0" xfId="0" applyFont="1" applyFill="1"/>
    <xf numFmtId="43" fontId="0" fillId="0" borderId="0" xfId="0" applyNumberFormat="1"/>
    <xf numFmtId="43" fontId="0" fillId="0" borderId="0" xfId="0" applyAlignment="1" applyBorder="1" applyNumberFormat="1" applyProtection="1">
      <alignment vertical="top" wrapText="1"/>
      <protection locked="0"/>
    </xf>
    <xf numFmtId="8" fontId="3" fillId="28" borderId="24" xfId="0" applyAlignment="1" applyBorder="1" applyFont="1" applyNumberFormat="1" applyFill="1" applyProtection="1">
      <alignment horizontal="right" vertical="center"/>
      <protection locked="0"/>
    </xf>
    <xf numFmtId="0" fontId="0" fillId="0" borderId="0" xfId="0" applyFill="1"/>
    <xf numFmtId="0" fontId="45" fillId="0" borderId="27" xfId="0" applyAlignment="1" applyBorder="1" applyFont="1" applyFill="1" applyProtection="1">
      <alignment wrapText="1"/>
      <protection locked="0"/>
    </xf>
    <xf numFmtId="1" fontId="45" fillId="0" borderId="27" xfId="0" applyAlignment="1" applyBorder="1" applyFont="1" applyNumberFormat="1" applyFill="1" applyProtection="1">
      <alignment horizontal="center" wrapText="1"/>
      <protection locked="0"/>
    </xf>
    <xf numFmtId="0" fontId="45" fillId="30" borderId="28" xfId="0" applyAlignment="1" applyBorder="1" applyFont="1" applyFill="1" applyProtection="1">
      <alignment horizontal="center"/>
      <protection locked="0"/>
    </xf>
    <xf numFmtId="0" fontId="45" fillId="0" borderId="28" xfId="0" applyAlignment="1" applyBorder="1" applyFont="1" applyFill="1" applyProtection="1">
      <alignment horizontal="center"/>
      <protection locked="0"/>
    </xf>
    <xf numFmtId="0" fontId="45" fillId="33" borderId="28" xfId="0" applyAlignment="1" applyBorder="1" applyFont="1" applyFill="1" applyProtection="1">
      <alignment horizontal="center" wrapText="1"/>
      <protection locked="0"/>
    </xf>
    <xf numFmtId="0" fontId="3" fillId="0" borderId="24" xfId="0" applyAlignment="1" applyBorder="1" applyFont="1" applyFill="1" applyProtection="1">
      <alignment horizontal="center" vertical="center" wrapText="1"/>
      <protection locked="0"/>
    </xf>
    <xf numFmtId="0" fontId="45" fillId="0" borderId="29" xfId="0" applyAlignment="1" applyBorder="1" applyFont="1" applyFill="1" applyProtection="1">
      <alignment horizontal="center"/>
      <protection locked="0"/>
    </xf>
    <xf numFmtId="0" fontId="45" fillId="30" borderId="29" xfId="0" applyAlignment="1" applyBorder="1" applyFont="1" applyFill="1" applyProtection="1">
      <alignment horizontal="center"/>
      <protection locked="0"/>
    </xf>
    <xf numFmtId="0" fontId="3" fillId="7" borderId="24" xfId="0" applyAlignment="1" applyBorder="1" applyFont="1" applyFill="1" applyProtection="1">
      <alignment horizontal="center" vertical="center" wrapText="1"/>
      <protection locked="0"/>
    </xf>
    <xf numFmtId="0" fontId="67" fillId="30" borderId="5" xfId="0" applyAlignment="1" applyBorder="1" applyFont="1" applyFill="1" applyProtection="1">
      <alignment horizontal="center"/>
      <protection locked="0"/>
    </xf>
    <xf numFmtId="0" fontId="3" fillId="0" borderId="5" xfId="0" applyAlignment="1" applyBorder="1" applyFont="1" applyFill="1" applyProtection="1">
      <alignment horizontal="left" vertical="center" wrapText="1"/>
      <protection locked="0"/>
    </xf>
    <xf numFmtId="0" fontId="45" fillId="33" borderId="30" xfId="0" applyAlignment="1" applyBorder="1" applyFont="1" applyFill="1" applyProtection="1">
      <alignment horizontal="center"/>
      <protection locked="0"/>
    </xf>
    <xf numFmtId="0" fontId="45" fillId="33" borderId="31" xfId="0" applyAlignment="1" applyBorder="1" applyFont="1" applyFill="1" applyProtection="1">
      <alignment horizontal="center"/>
      <protection locked="0"/>
    </xf>
    <xf numFmtId="0" fontId="45" fillId="33" borderId="32" xfId="0" applyAlignment="1" applyBorder="1" applyFont="1" applyFill="1" applyProtection="1">
      <alignment horizontal="center"/>
      <protection locked="0"/>
    </xf>
    <xf numFmtId="7" fontId="3" fillId="6" borderId="5" xfId="0" applyAlignment="1" applyBorder="1" applyFont="1" applyNumberFormat="1" applyFill="1" applyProtection="1">
      <alignment horizontal="center" vertical="center" wrapText="1"/>
      <protection locked="0"/>
    </xf>
    <xf numFmtId="0" fontId="45" fillId="0" borderId="5" xfId="0" applyAlignment="1" applyBorder="1" applyFont="1" applyFill="1" applyProtection="1">
      <alignment wrapText="1"/>
      <protection locked="0"/>
    </xf>
    <xf numFmtId="1" fontId="3" fillId="0" borderId="5" xfId="0" applyAlignment="1" applyBorder="1" applyFont="1" applyNumberFormat="1" applyFill="1" applyProtection="1">
      <alignment horizontal="center" vertical="center" wrapText="1"/>
      <protection locked="0"/>
    </xf>
    <xf numFmtId="0" fontId="3" fillId="7" borderId="5" xfId="0" applyAlignment="1" applyBorder="1" applyFont="1" applyFill="1" applyProtection="1">
      <alignment horizontal="center" vertical="center" wrapText="1"/>
      <protection locked="0"/>
    </xf>
    <xf numFmtId="0" fontId="0" fillId="0" borderId="0" xfId="0" applyAlignment="1" applyBorder="1" applyProtection="1">
      <alignment vertical="top" wrapText="1"/>
      <protection locked="0"/>
    </xf>
    <xf numFmtId="0" fontId="70" fillId="7" borderId="5" xfId="0" applyAlignment="1" applyBorder="1" applyFont="1" applyFill="1" applyProtection="1">
      <alignment vertical="top"/>
      <protection locked="0"/>
    </xf>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20" fontId="0" fillId="0" borderId="4" xfId="0" applyBorder="1" applyNumberFormat="1" quotePrefix="1"/>
    <xf numFmtId="20" fontId="0" fillId="0" borderId="42" xfId="0" applyBorder="1" applyNumberFormat="1" quotePrefix="1"/>
    <xf numFmtId="173" fontId="0" fillId="0" borderId="5" xfId="5" applyBorder="1" applyFont="1" applyNumberFormat="1"/>
    <xf numFmtId="0" fontId="45" fillId="0" borderId="27" xfId="0" applyAlignment="1" applyBorder="1" applyFont="1" applyFill="1" applyProtection="1">
      <alignment horizontal="left" wrapText="1"/>
      <protection locked="0"/>
    </xf>
    <xf numFmtId="0" fontId="0" fillId="32" borderId="35" xfId="0" applyBorder="1" applyFill="1"/>
    <xf numFmtId="0" fontId="74" fillId="0" borderId="0" xfId="0" applyFont="1"/>
    <xf numFmtId="0" fontId="13" fillId="0" borderId="0" xfId="0" applyFont="1"/>
    <xf numFmtId="0" fontId="77" fillId="0" borderId="0" xfId="0" applyFont="1"/>
    <xf numFmtId="1" fontId="3" fillId="28" borderId="4" xfId="0" applyAlignment="1" applyBorder="1" applyFont="1" applyNumberFormat="1" applyFill="1" applyProtection="1">
      <alignment horizontal="center" vertical="center" wrapText="1"/>
      <protection locked="0"/>
    </xf>
    <xf numFmtId="0" fontId="78" fillId="0" borderId="0" xfId="0" applyFont="1"/>
    <xf numFmtId="0" fontId="0" fillId="0" borderId="0" xfId="0" applyProtection="1">
      <protection locked="0"/>
    </xf>
    <xf numFmtId="170" fontId="47" fillId="30" borderId="0" xfId="6" applyBorder="1" applyFont="1" applyNumberFormat="1" applyFill="1"/>
    <xf numFmtId="170" fontId="39" fillId="30" borderId="0" xfId="6" applyBorder="1" applyFont="1" applyNumberFormat="1" applyFill="1"/>
    <xf numFmtId="0" fontId="0" fillId="30" borderId="0" xfId="0" applyFill="1"/>
    <xf numFmtId="0" fontId="0" fillId="30" borderId="0" xfId="0" applyBorder="1" applyFill="1"/>
    <xf numFmtId="0" fontId="0" fillId="30" borderId="0" xfId="0" applyAlignment="1" applyBorder="1" applyFill="1">
      <alignment horizontal="left"/>
    </xf>
    <xf numFmtId="44" fontId="0" fillId="30" borderId="0" xfId="0" applyBorder="1" applyNumberFormat="1" applyFill="1"/>
    <xf numFmtId="0" fontId="0" fillId="30" borderId="0" xfId="0" applyAlignment="1" applyFill="1">
      <alignment horizontal="left"/>
    </xf>
    <xf numFmtId="0" fontId="74" fillId="30" borderId="0" xfId="0" applyBorder="1" applyFont="1" applyFill="1"/>
    <xf numFmtId="0" fontId="74" fillId="30" borderId="0" xfId="0" applyFont="1" applyFill="1"/>
    <xf numFmtId="0" fontId="17" fillId="30" borderId="0" xfId="0" applyAlignment="1" applyBorder="1" applyFont="1" applyFill="1">
      <alignment horizontal="center" vertical="center"/>
    </xf>
    <xf numFmtId="170" fontId="47" fillId="30" borderId="0" xfId="0" applyBorder="1" applyFont="1" applyNumberFormat="1" applyFill="1"/>
    <xf numFmtId="171" fontId="47" fillId="30" borderId="0" xfId="0" applyBorder="1" applyFont="1" applyNumberFormat="1" applyFill="1"/>
    <xf numFmtId="170" fontId="0" fillId="30" borderId="0" xfId="0" applyBorder="1" applyNumberFormat="1" applyFill="1"/>
    <xf numFmtId="171" fontId="0" fillId="30" borderId="0" xfId="0" applyBorder="1" applyNumberFormat="1" applyFill="1"/>
    <xf numFmtId="0" fontId="0" fillId="30" borderId="0" xfId="0" applyBorder="1" applyFill="1" applyProtection="1">
      <protection locked="0"/>
    </xf>
    <xf numFmtId="0" fontId="47" fillId="30" borderId="0" xfId="0" applyBorder="1" applyFont="1" applyFill="1"/>
    <xf numFmtId="0" fontId="68" fillId="30" borderId="0" xfId="0" applyAlignment="1" applyBorder="1" applyFont="1" applyFill="1">
      <alignment horizontal="center" vertical="center"/>
    </xf>
    <xf numFmtId="1" fontId="13" fillId="30" borderId="0" xfId="9" applyBorder="1" applyFont="1" applyNumberFormat="1" applyFill="1"/>
    <xf numFmtId="8" fontId="0" fillId="30" borderId="0" xfId="0" applyNumberFormat="1" applyFill="1"/>
    <xf numFmtId="0" fontId="68" fillId="30" borderId="0" xfId="0" applyAlignment="1" applyBorder="1" applyFont="1" applyFill="1">
      <alignment horizontal="center" vertical="center" wrapText="1"/>
    </xf>
    <xf numFmtId="170" fontId="49" fillId="30" borderId="0" xfId="0" applyBorder="1" applyFont="1" applyNumberFormat="1" applyFill="1"/>
    <xf numFmtId="170" fontId="49" fillId="30" borderId="0" xfId="6" applyBorder="1" applyFont="1" applyNumberFormat="1" applyFill="1"/>
    <xf numFmtId="171" fontId="49" fillId="30" borderId="0" xfId="0" applyBorder="1" applyFont="1" applyNumberFormat="1" applyFill="1"/>
    <xf numFmtId="0" fontId="0" fillId="30" borderId="0" xfId="0" applyFill="1" applyProtection="1">
      <protection locked="0"/>
    </xf>
    <xf numFmtId="0" fontId="74" fillId="30" borderId="0" xfId="0" applyFont="1" applyFill="1" applyProtection="1">
      <protection locked="0"/>
    </xf>
    <xf numFmtId="0" fontId="0" fillId="30" borderId="43" xfId="0" applyBorder="1" applyFill="1"/>
    <xf numFmtId="0" fontId="0" fillId="30" borderId="44" xfId="0" applyBorder="1" applyFill="1"/>
    <xf numFmtId="0" fontId="0" fillId="30" borderId="45" xfId="0" applyBorder="1" applyFill="1"/>
    <xf numFmtId="0" fontId="0" fillId="30" borderId="46" xfId="0" applyBorder="1" applyFill="1"/>
    <xf numFmtId="0" fontId="0" fillId="30" borderId="5" xfId="0" applyAlignment="1" applyBorder="1" applyFill="1">
      <alignment horizontal="right"/>
    </xf>
    <xf numFmtId="173" fontId="0" fillId="30" borderId="5" xfId="5" applyBorder="1" applyFont="1" applyNumberFormat="1" applyFill="1"/>
    <xf numFmtId="20" fontId="0" fillId="30" borderId="4" xfId="0" applyBorder="1" applyNumberFormat="1" applyFill="1" quotePrefix="1"/>
    <xf numFmtId="0" fontId="0" fillId="30" borderId="4" xfId="0" applyBorder="1" applyFill="1"/>
    <xf numFmtId="0" fontId="0" fillId="30" borderId="47" xfId="0" applyBorder="1" applyFill="1"/>
    <xf numFmtId="20" fontId="0" fillId="30" borderId="48" xfId="0" applyBorder="1" applyNumberFormat="1" applyFill="1" quotePrefix="1"/>
    <xf numFmtId="0" fontId="0" fillId="30" borderId="48" xfId="0" applyBorder="1" applyFill="1"/>
    <xf numFmtId="0" fontId="7" fillId="30" borderId="6" xfId="0" applyAlignment="1" applyBorder="1" applyFont="1" applyFill="1">
      <alignment horizontal="center" vertical="center" wrapText="1"/>
    </xf>
    <xf numFmtId="0" fontId="7" fillId="30" borderId="6" xfId="0" applyAlignment="1" applyBorder="1" applyFont="1" applyFill="1">
      <alignment horizontal="center" vertical="center"/>
    </xf>
    <xf numFmtId="8" fontId="6" fillId="30" borderId="5" xfId="0" applyAlignment="1" applyBorder="1" applyFont="1" applyNumberFormat="1" applyFill="1" applyProtection="1">
      <alignment horizontal="center" vertical="center"/>
      <protection locked="0"/>
    </xf>
    <xf numFmtId="0" fontId="0" fillId="30" borderId="0" xfId="0" applyBorder="1" applyFill="1" applyProtection="1"/>
    <xf numFmtId="0" fontId="0" fillId="0" borderId="0" xfId="0" applyProtection="1"/>
    <xf numFmtId="0" fontId="79" fillId="29" borderId="49" xfId="19" applyAlignment="1" applyBorder="1" applyFont="1" applyFill="1" applyProtection="1">
      <alignment horizontal="center" vertical="top" wrapText="1"/>
      <protection locked="0"/>
    </xf>
    <xf numFmtId="0" fontId="37" fillId="29" borderId="50" xfId="1" applyAlignment="1" applyBorder="1" applyFont="1" applyFill="1" applyProtection="1">
      <alignment horizontal="center" vertical="top" wrapText="1"/>
      <protection locked="0"/>
    </xf>
    <xf numFmtId="0" fontId="37" fillId="29" borderId="51" xfId="1" applyAlignment="1" applyBorder="1" applyFont="1" applyFill="1" applyProtection="1">
      <alignment horizontal="center" vertical="top" wrapText="1"/>
      <protection locked="0"/>
    </xf>
    <xf numFmtId="0" fontId="79" fillId="29" borderId="1" xfId="19" applyAlignment="1" applyBorder="1" applyFont="1" applyFill="1" applyProtection="1">
      <alignment horizontal="center" vertical="top" wrapText="1"/>
      <protection locked="0"/>
    </xf>
    <xf numFmtId="0" fontId="13" fillId="0" borderId="0" xfId="1" applyAlignment="1" applyBorder="1" applyFont="1" applyFill="1" applyProtection="1">
      <alignment vertical="top"/>
      <protection locked="0"/>
    </xf>
    <xf numFmtId="0" fontId="86" fillId="34" borderId="1" xfId="19" applyAlignment="1" applyBorder="1" applyFont="1" applyFill="1" applyProtection="1">
      <alignment horizontal="center" vertical="top" wrapText="1"/>
      <protection locked="0"/>
    </xf>
    <xf numFmtId="0" fontId="86" fillId="34" borderId="52" xfId="19" applyAlignment="1" applyBorder="1" applyFont="1" applyFill="1" applyProtection="1">
      <alignment horizontal="center" vertical="top" wrapText="1"/>
      <protection locked="0"/>
    </xf>
    <xf numFmtId="0" fontId="13" fillId="0" borderId="0" xfId="1" applyAlignment="1" applyFont="1" applyProtection="1">
      <alignment vertical="top"/>
      <protection locked="0"/>
    </xf>
    <xf numFmtId="0" fontId="38" fillId="0" borderId="0" xfId="1" applyAlignment="1" applyBorder="1" applyFont="1" applyFill="1" applyProtection="1">
      <alignment vertical="center"/>
      <protection locked="0"/>
    </xf>
    <xf numFmtId="0" fontId="47" fillId="35" borderId="49" xfId="19" applyAlignment="1" applyBorder="1" applyFont="1" applyFill="1" applyProtection="1">
      <alignment horizontal="left" vertical="top" wrapText="1"/>
      <protection locked="0"/>
    </xf>
    <xf numFmtId="43" fontId="13" fillId="34" borderId="0" xfId="1" applyAlignment="1" applyBorder="1" applyFont="1" applyNumberFormat="1" applyFill="1" applyProtection="1">
      <alignment vertical="top"/>
      <protection locked="0"/>
    </xf>
    <xf numFmtId="0" fontId="0" fillId="30" borderId="0" xfId="0" applyFill="1" applyProtection="1"/>
    <xf numFmtId="0" fontId="13" fillId="30" borderId="0" xfId="1" applyAlignment="1" applyBorder="1" applyFont="1" applyFill="1" applyProtection="1">
      <alignment vertical="top"/>
      <protection locked="0"/>
    </xf>
    <xf numFmtId="0" fontId="79" fillId="29" borderId="0" xfId="19" applyAlignment="1" applyBorder="1" applyFont="1" applyFill="1" applyProtection="1">
      <alignment horizontal="center" vertical="top" wrapText="1"/>
      <protection locked="0"/>
    </xf>
    <xf numFmtId="0" fontId="79" fillId="29" borderId="5" xfId="19" applyAlignment="1" applyBorder="1" applyFont="1" applyFill="1" applyProtection="1">
      <alignment horizontal="center" vertical="top" wrapText="1"/>
      <protection locked="0"/>
    </xf>
    <xf numFmtId="0" fontId="1" fillId="30" borderId="0" xfId="74" applyBorder="1" applyFont="1" applyFill="1" applyProtection="1">
      <protection locked="0"/>
    </xf>
    <xf numFmtId="43" fontId="1" fillId="30" borderId="0" xfId="74" applyBorder="1" applyFont="1" applyNumberFormat="1" applyFill="1" applyProtection="1">
      <protection locked="0"/>
    </xf>
    <xf numFmtId="0" fontId="1" fillId="0" borderId="0" xfId="74" applyFont="1" applyProtection="1">
      <protection locked="0"/>
    </xf>
    <xf numFmtId="0" fontId="88" fillId="29" borderId="49" xfId="19" applyAlignment="1" applyBorder="1" applyFont="1" applyFill="1" applyProtection="1">
      <alignment horizontal="left" vertical="top" wrapText="1"/>
      <protection locked="0"/>
    </xf>
    <xf numFmtId="0" fontId="37" fillId="29" borderId="5" xfId="1" applyAlignment="1" applyBorder="1" applyFont="1" applyFill="1" applyProtection="1">
      <alignment horizontal="center" vertical="top" wrapText="1"/>
      <protection locked="0"/>
    </xf>
    <xf numFmtId="0" fontId="79" fillId="29" borderId="5" xfId="19" applyAlignment="1" applyBorder="1" applyFont="1" applyFill="1" applyProtection="1">
      <alignment horizontal="left" vertical="top" wrapText="1"/>
      <protection locked="0"/>
    </xf>
    <xf numFmtId="0" fontId="13" fillId="30" borderId="0" xfId="1" applyAlignment="1" applyBorder="1" applyFont="1" applyFill="1" applyProtection="1">
      <alignment vertical="top" wrapText="1"/>
      <protection locked="0"/>
    </xf>
    <xf numFmtId="0" fontId="1" fillId="0" borderId="5" xfId="74" applyAlignment="1" applyBorder="1" applyFont="1" applyProtection="1">
      <alignment vertical="top"/>
      <protection locked="0"/>
    </xf>
    <xf numFmtId="0" fontId="1" fillId="30" borderId="0" xfId="74" applyAlignment="1" applyBorder="1" applyFont="1" applyFill="1" applyProtection="1">
      <alignment vertical="top"/>
      <protection locked="0"/>
    </xf>
    <xf numFmtId="0" fontId="0" fillId="0" borderId="5" xfId="0" applyAlignment="1" applyBorder="1" applyProtection="1">
      <alignment vertical="top"/>
      <protection locked="0"/>
    </xf>
    <xf numFmtId="0" fontId="1" fillId="30" borderId="0" xfId="74" applyAlignment="1" applyFont="1" applyFill="1" applyProtection="1">
      <alignment vertical="top"/>
      <protection locked="0"/>
    </xf>
    <xf numFmtId="0" fontId="0" fillId="30" borderId="0" xfId="0" applyAlignment="1" applyFill="1" applyProtection="1">
      <alignment vertical="top"/>
      <protection locked="0"/>
    </xf>
    <xf numFmtId="0" fontId="0" fillId="0" borderId="0" xfId="0" applyAlignment="1" applyProtection="1">
      <alignment vertical="top"/>
      <protection locked="0"/>
    </xf>
    <xf numFmtId="0" fontId="0" fillId="30" borderId="0" xfId="0" applyAlignment="1" applyBorder="1" applyFill="1" applyProtection="1">
      <alignment vertical="top"/>
      <protection locked="0"/>
    </xf>
    <xf numFmtId="0" fontId="86" fillId="30" borderId="0" xfId="19" applyAlignment="1" applyBorder="1" applyFont="1" applyFill="1" applyProtection="1">
      <alignment horizontal="center" vertical="top" wrapText="1"/>
      <protection locked="0"/>
    </xf>
    <xf numFmtId="0" fontId="86" fillId="30" borderId="0" xfId="19" applyAlignment="1" applyBorder="1" applyFont="1" applyFill="1" applyProtection="1">
      <alignment horizontal="center" vertical="top"/>
      <protection locked="0"/>
    </xf>
    <xf numFmtId="0" fontId="84" fillId="30" borderId="0" xfId="75" applyAlignment="1" applyBorder="1" applyFont="1" applyFill="1" applyProtection="1">
      <alignment vertical="top" wrapText="1"/>
      <protection locked="0"/>
    </xf>
    <xf numFmtId="0" fontId="3" fillId="36" borderId="7" xfId="0" applyAlignment="1" applyBorder="1" applyFont="1" applyFill="1" applyProtection="1">
      <alignment horizontal="center" vertical="center" wrapText="1"/>
    </xf>
    <xf numFmtId="0" fontId="2" fillId="36" borderId="0" xfId="0" applyAlignment="1" applyBorder="1" applyFont="1" applyFill="1" applyProtection="1">
      <alignment horizontal="center" vertical="center" wrapText="1"/>
    </xf>
    <xf numFmtId="0" fontId="3" fillId="36" borderId="5" xfId="0" applyAlignment="1" applyBorder="1" applyFont="1" applyFill="1" applyProtection="1">
      <alignment horizontal="center" vertical="center"/>
    </xf>
    <xf numFmtId="0" fontId="91" fillId="36" borderId="0" xfId="0" applyAlignment="1" applyBorder="1" applyFont="1" applyFill="1" applyProtection="1">
      <alignment horizontal="center" vertical="center" wrapText="1"/>
    </xf>
    <xf numFmtId="0" fontId="3" fillId="36" borderId="5" xfId="0" applyAlignment="1" applyBorder="1" applyFont="1" applyFill="1">
      <alignment horizontal="center" vertical="center"/>
    </xf>
    <xf numFmtId="0" fontId="3" fillId="36" borderId="5" xfId="0" applyAlignment="1" applyBorder="1" applyFont="1" applyFill="1" applyProtection="1">
      <alignment horizontal="center" vertical="center" wrapText="1"/>
      <protection locked="0"/>
    </xf>
    <xf numFmtId="0" fontId="3" fillId="36" borderId="5" xfId="0" applyAlignment="1" applyBorder="1" applyFont="1" applyFill="1" applyProtection="1">
      <alignment horizontal="center" vertical="center" wrapText="1"/>
    </xf>
    <xf numFmtId="0" fontId="7" fillId="7" borderId="5" xfId="0" applyAlignment="1" applyBorder="1" applyFont="1" applyFill="1" applyProtection="1">
      <alignment horizontal="center" vertical="center" wrapText="1"/>
      <protection locked="0"/>
    </xf>
    <xf numFmtId="8" fontId="7" fillId="0" borderId="0" xfId="0" applyAlignment="1" applyBorder="1" applyFont="1" applyNumberFormat="1" applyProtection="1">
      <alignment horizontal="center" vertical="center"/>
      <protection locked="0"/>
    </xf>
    <xf numFmtId="0" fontId="7" fillId="0" borderId="0" xfId="0" applyAlignment="1" applyFont="1" applyProtection="1">
      <alignment horizontal="center" vertical="center"/>
      <protection locked="0"/>
    </xf>
    <xf numFmtId="0" fontId="3" fillId="36" borderId="7" xfId="0" applyAlignment="1" applyBorder="1" applyFont="1" applyFill="1" applyProtection="1">
      <alignment horizontal="center" vertical="center" wrapText="1"/>
      <protection locked="0"/>
    </xf>
    <xf numFmtId="0" fontId="7" fillId="36" borderId="5" xfId="0" applyAlignment="1" applyBorder="1" applyFont="1" applyFill="1">
      <alignment horizontal="center" vertical="center" wrapText="1"/>
    </xf>
    <xf numFmtId="44" fontId="3" fillId="36" borderId="0" xfId="0" applyAlignment="1" applyFont="1" applyNumberFormat="1" applyFill="1" applyProtection="1">
      <alignment horizontal="center" vertical="center"/>
    </xf>
    <xf numFmtId="0" fontId="7" fillId="7" borderId="24" xfId="0" applyAlignment="1" applyBorder="1" applyFont="1" applyFill="1" applyProtection="1">
      <alignment horizontal="center" vertical="center" wrapText="1"/>
      <protection locked="0"/>
    </xf>
    <xf numFmtId="0" fontId="2" fillId="36" borderId="5" xfId="0" applyAlignment="1" applyBorder="1" applyFont="1" applyFill="1" applyProtection="1">
      <alignment horizontal="center" vertical="center" wrapText="1"/>
    </xf>
    <xf numFmtId="0" fontId="10" fillId="36" borderId="0" xfId="0" applyAlignment="1" applyBorder="1" applyFont="1" applyFill="1" applyProtection="1">
      <alignment horizontal="center" wrapText="1"/>
      <protection locked="0"/>
    </xf>
    <xf numFmtId="0" fontId="7" fillId="7" borderId="5" xfId="0" applyAlignment="1" applyBorder="1" applyFont="1" applyFill="1" applyProtection="1">
      <alignment horizontal="center" vertical="center" wrapText="1"/>
    </xf>
    <xf numFmtId="44" fontId="5" fillId="6" borderId="5" xfId="0" applyAlignment="1" applyBorder="1" applyFont="1" applyNumberFormat="1" applyFill="1" applyProtection="1">
      <alignment horizontal="center" vertical="center" wrapText="1"/>
    </xf>
    <xf numFmtId="44" fontId="3" fillId="6" borderId="5" xfId="0" applyAlignment="1" applyBorder="1" applyFont="1" applyNumberFormat="1" applyFill="1" applyProtection="1">
      <alignment horizontal="center" vertical="center" wrapText="1"/>
      <protection locked="0"/>
    </xf>
    <xf numFmtId="0" fontId="3" fillId="8" borderId="0" xfId="0" applyAlignment="1" applyBorder="1" applyFont="1" applyFill="1" applyProtection="1">
      <alignment horizontal="center" vertical="center"/>
      <protection locked="0"/>
    </xf>
    <xf numFmtId="0" fontId="3" fillId="8" borderId="44" xfId="0" applyAlignment="1" applyBorder="1" applyFont="1" applyFill="1" applyProtection="1">
      <alignment horizontal="center" vertical="center"/>
      <protection locked="0"/>
    </xf>
    <xf numFmtId="0" fontId="3" fillId="8" borderId="5" xfId="0" applyAlignment="1" applyBorder="1" applyFont="1" applyFill="1" applyProtection="1">
      <alignment horizontal="center" vertical="center"/>
      <protection locked="0"/>
    </xf>
    <xf numFmtId="0" fontId="3" fillId="0" borderId="44" xfId="0" applyAlignment="1" applyBorder="1" applyFont="1" applyProtection="1">
      <alignment horizontal="center" vertical="center"/>
      <protection locked="0"/>
    </xf>
    <xf numFmtId="0" fontId="7" fillId="0" borderId="5" xfId="0" applyAlignment="1" applyBorder="1" applyFont="1" applyProtection="1">
      <alignment horizontal="center" vertical="center"/>
      <protection locked="0"/>
    </xf>
    <xf numFmtId="0" fontId="6" fillId="0" borderId="0" xfId="0" applyAlignment="1" applyBorder="1" applyFont="1" applyFill="1" applyProtection="1">
      <alignment horizontal="center" vertical="center" wrapText="1"/>
      <protection locked="0"/>
    </xf>
    <xf numFmtId="0" fontId="3" fillId="0" borderId="5" xfId="0" applyAlignment="1" applyBorder="1" applyFont="1" applyFill="1" applyProtection="1">
      <alignment horizontal="center" vertical="center"/>
      <protection locked="0"/>
    </xf>
    <xf numFmtId="44" fontId="5" fillId="6" borderId="5" xfId="0" applyAlignment="1" applyBorder="1" applyFont="1" applyNumberFormat="1" applyFill="1" applyProtection="1">
      <alignment horizontal="center" vertical="center" wrapText="1"/>
      <protection locked="0"/>
    </xf>
    <xf numFmtId="0" fontId="3" fillId="0" borderId="0" xfId="0" applyAlignment="1" applyFont="1" applyFill="1" applyProtection="1">
      <alignment horizontal="center" vertical="center"/>
      <protection locked="0"/>
    </xf>
    <xf numFmtId="0" fontId="7" fillId="36" borderId="5" xfId="0" applyAlignment="1" applyBorder="1" applyFont="1" applyFill="1" applyProtection="1">
      <alignment horizontal="center" vertical="center" wrapText="1"/>
    </xf>
    <xf numFmtId="0" fontId="2" fillId="36" borderId="6" xfId="0" applyAlignment="1" applyBorder="1" applyFont="1" applyFill="1" applyProtection="1">
      <alignment horizontal="center" vertical="center" wrapText="1"/>
    </xf>
    <xf numFmtId="0" fontId="7" fillId="0" borderId="5" xfId="0" applyAlignment="1" applyBorder="1" applyFont="1" applyFill="1" applyProtection="1">
      <alignment horizontal="center" vertical="center" wrapText="1"/>
      <protection locked="0"/>
    </xf>
    <xf numFmtId="0" fontId="3" fillId="36" borderId="0" xfId="0" applyAlignment="1" applyFont="1" applyFill="1">
      <alignment horizontal="center" vertical="center"/>
    </xf>
    <xf numFmtId="0" fontId="45" fillId="36" borderId="0" xfId="0" applyAlignment="1" applyBorder="1" applyFont="1" applyFill="1" applyProtection="1">
      <alignment horizontal="center" wrapText="1"/>
      <protection locked="0"/>
    </xf>
    <xf numFmtId="0" fontId="3" fillId="0" borderId="4" xfId="0" applyAlignment="1" applyBorder="1" applyFont="1" applyFill="1" applyProtection="1">
      <alignment horizontal="center" vertical="center" wrapText="1"/>
      <protection locked="0"/>
    </xf>
    <xf numFmtId="44" fontId="3" fillId="32" borderId="0" xfId="0" applyAlignment="1" applyFont="1" applyNumberFormat="1" applyFill="1" applyProtection="1">
      <alignment horizontal="center" vertical="center"/>
    </xf>
    <xf numFmtId="44" fontId="3" fillId="6" borderId="24" xfId="0" applyAlignment="1" applyBorder="1" applyFont="1" applyNumberFormat="1" applyFill="1" applyProtection="1">
      <alignment horizontal="center" vertical="center" wrapText="1"/>
      <protection locked="0"/>
    </xf>
    <xf numFmtId="0" fontId="3" fillId="8" borderId="43" xfId="0" applyAlignment="1" applyBorder="1" applyFont="1" applyFill="1" applyProtection="1">
      <alignment horizontal="center" vertical="center"/>
      <protection locked="0"/>
    </xf>
    <xf numFmtId="0" fontId="3" fillId="8" borderId="53" xfId="0" applyAlignment="1" applyBorder="1" applyFont="1" applyFill="1" applyProtection="1">
      <alignment horizontal="center" vertical="center"/>
      <protection locked="0"/>
    </xf>
    <xf numFmtId="0" fontId="3" fillId="8" borderId="54" xfId="0" applyAlignment="1" applyBorder="1" applyFont="1" applyFill="1" applyProtection="1">
      <alignment horizontal="center" vertical="center"/>
      <protection locked="0"/>
    </xf>
    <xf numFmtId="0" fontId="3" fillId="8" borderId="55" xfId="0" applyAlignment="1" applyBorder="1" applyFont="1" applyFill="1" applyProtection="1">
      <alignment horizontal="center" vertical="center"/>
      <protection locked="0"/>
    </xf>
    <xf numFmtId="8" fontId="3" fillId="6" borderId="24" xfId="0" applyAlignment="1" applyBorder="1" applyFont="1" applyNumberFormat="1" applyFill="1" applyProtection="1">
      <alignment horizontal="right" vertical="center"/>
      <protection locked="0"/>
    </xf>
    <xf numFmtId="0" fontId="9" fillId="0" borderId="0" xfId="0" applyAlignment="1" applyFont="1" applyFill="1" applyProtection="1">
      <alignment horizontal="center" vertical="center"/>
      <protection locked="0"/>
    </xf>
    <xf numFmtId="0" fontId="3" fillId="0" borderId="5" xfId="0" applyAlignment="1" applyBorder="1" applyFont="1" applyProtection="1">
      <alignment horizontal="center" vertical="center" wrapText="1"/>
      <protection locked="0"/>
    </xf>
    <xf numFmtId="0" fontId="3" fillId="0" borderId="43" xfId="0" applyAlignment="1" applyBorder="1" applyFont="1" applyProtection="1">
      <alignment horizontal="center" vertical="center"/>
      <protection locked="0"/>
    </xf>
    <xf numFmtId="0" fontId="7" fillId="0" borderId="0" xfId="0" applyAlignment="1" applyFont="1" applyProtection="1">
      <alignment horizontal="left" vertical="center" wrapText="1"/>
      <protection locked="0"/>
    </xf>
    <xf numFmtId="8" fontId="3" fillId="0" borderId="0" xfId="0" applyAlignment="1" applyFont="1" applyNumberFormat="1" applyProtection="1">
      <alignment horizontal="center" vertical="center"/>
      <protection locked="0"/>
    </xf>
    <xf numFmtId="0" fontId="3" fillId="6" borderId="5" xfId="0" applyAlignment="1" applyBorder="1" applyFont="1" applyFill="1" applyProtection="1">
      <alignment horizontal="center" vertical="center" wrapText="1"/>
      <protection locked="0"/>
    </xf>
    <xf numFmtId="43" fontId="3" fillId="0" borderId="0" xfId="5" applyAlignment="1" applyFont="1" applyNumberFormat="1" applyProtection="1">
      <alignment horizontal="center" vertical="center"/>
      <protection locked="0"/>
    </xf>
    <xf numFmtId="44" fontId="3" fillId="0" borderId="0" xfId="0" applyAlignment="1" applyFont="1" applyNumberFormat="1" applyProtection="1">
      <alignment horizontal="center" vertical="center"/>
      <protection locked="0"/>
    </xf>
    <xf numFmtId="0" fontId="7" fillId="7" borderId="4" xfId="0" applyAlignment="1" applyBorder="1" applyFont="1" applyFill="1" applyProtection="1">
      <alignment horizontal="center" vertical="center" wrapText="1"/>
      <protection locked="0"/>
    </xf>
    <xf numFmtId="44" fontId="5" fillId="36" borderId="56" xfId="0" applyAlignment="1" applyBorder="1" applyFont="1" applyNumberFormat="1" applyFill="1" applyProtection="1">
      <alignment horizontal="center" vertical="center" wrapText="1"/>
    </xf>
    <xf numFmtId="0" fontId="3" fillId="36" borderId="5" xfId="0" applyAlignment="1" applyBorder="1" applyFont="1" applyFill="1">
      <alignment horizontal="center" vertical="center" wrapText="1"/>
    </xf>
    <xf numFmtId="0" fontId="38" fillId="0" borderId="0" xfId="1" applyAlignment="1" applyFont="1" applyProtection="1">
      <alignment vertical="top"/>
      <protection locked="0"/>
    </xf>
    <xf numFmtId="0" fontId="79" fillId="29" borderId="0" xfId="19" applyAlignment="1" applyBorder="1" applyFont="1" applyFill="1" applyProtection="1">
      <alignment horizontal="center" vertical="top"/>
      <protection locked="0"/>
    </xf>
    <xf numFmtId="0" fontId="86" fillId="29" borderId="0" xfId="19" applyAlignment="1" applyBorder="1" applyFont="1" applyFill="1" applyProtection="1">
      <alignment horizontal="center" vertical="top"/>
      <protection locked="0"/>
    </xf>
    <xf numFmtId="0" fontId="37" fillId="29" borderId="57" xfId="1" applyAlignment="1" applyBorder="1" applyFont="1" applyFill="1" applyProtection="1">
      <alignment horizontal="center" vertical="top" wrapText="1"/>
      <protection locked="0"/>
    </xf>
    <xf numFmtId="0" fontId="3" fillId="0" borderId="0" xfId="0" applyAlignment="1" applyFont="1">
      <alignment horizontal="left" vertical="center"/>
    </xf>
    <xf numFmtId="7" fontId="5" fillId="0" borderId="5" xfId="0" applyAlignment="1" applyBorder="1" applyFont="1" applyNumberFormat="1">
      <alignment horizontal="center"/>
    </xf>
    <xf numFmtId="1" fontId="3" fillId="0" borderId="5" xfId="0" applyAlignment="1" applyBorder="1" applyFont="1" applyNumberFormat="1">
      <alignment horizontal="center"/>
    </xf>
    <xf numFmtId="0" fontId="3" fillId="0" borderId="5" xfId="0" applyBorder="1" applyFont="1"/>
    <xf numFmtId="1" fontId="3" fillId="7" borderId="4" xfId="0" applyAlignment="1" applyBorder="1" applyFont="1" applyNumberFormat="1" applyFill="1" applyProtection="1">
      <alignment horizontal="center" vertical="center" wrapText="1"/>
      <protection locked="0"/>
    </xf>
    <xf numFmtId="1" fontId="3" fillId="30" borderId="5" xfId="0" applyAlignment="1" applyBorder="1" applyFont="1" applyNumberFormat="1" applyFill="1" applyProtection="1">
      <alignment horizontal="center" vertical="center" wrapText="1"/>
      <protection locked="0"/>
    </xf>
    <xf numFmtId="1" fontId="3" fillId="30" borderId="4" xfId="0" applyAlignment="1" applyBorder="1" applyFont="1" applyNumberFormat="1" applyFill="1" applyProtection="1">
      <alignment horizontal="center" vertical="center" wrapText="1"/>
      <protection locked="0"/>
    </xf>
    <xf numFmtId="14" fontId="0" fillId="0" borderId="0" xfId="0" applyNumberFormat="1" applyProtection="1">
      <protection locked="0"/>
    </xf>
    <xf numFmtId="0" fontId="49" fillId="0" borderId="0" xfId="0" applyFont="1" applyProtection="1">
      <protection locked="0"/>
    </xf>
    <xf numFmtId="0" fontId="50" fillId="0" borderId="0" xfId="0" applyAlignment="1" applyFont="1" applyProtection="1">
      <alignment horizontal="center" vertical="center"/>
      <protection locked="0"/>
    </xf>
    <xf numFmtId="0" fontId="3" fillId="0" borderId="5" xfId="0" applyAlignment="1" applyBorder="1" applyFont="1" applyProtection="1">
      <alignment horizontal="left" vertical="center" wrapText="1"/>
      <protection locked="0"/>
    </xf>
    <xf numFmtId="8" fontId="3" fillId="6" borderId="5" xfId="0" applyAlignment="1" applyBorder="1" applyFont="1" applyNumberFormat="1" applyFill="1" applyProtection="1">
      <alignment horizontal="right" vertical="center"/>
      <protection locked="0"/>
    </xf>
    <xf numFmtId="44" fontId="5" fillId="0" borderId="0" xfId="0" applyAlignment="1" applyBorder="1" applyFont="1" applyNumberFormat="1" applyFill="1" applyProtection="1">
      <alignment horizontal="center" vertical="center" wrapText="1"/>
      <protection locked="0"/>
    </xf>
    <xf numFmtId="0" fontId="5" fillId="6" borderId="5" xfId="0" applyAlignment="1" applyBorder="1" applyFont="1" applyNumberFormat="1" applyFill="1" applyProtection="1">
      <alignment horizontal="center" vertical="center" wrapText="1"/>
      <protection locked="0"/>
    </xf>
    <xf numFmtId="44" fontId="51" fillId="0" borderId="0" xfId="0" applyAlignment="1" applyBorder="1" applyFont="1" applyNumberFormat="1" applyFill="1" applyProtection="1">
      <alignment horizontal="center" vertical="center" wrapText="1"/>
      <protection locked="0"/>
    </xf>
    <xf numFmtId="0" fontId="9" fillId="0" borderId="0" xfId="0" applyFont="1" applyProtection="1">
      <protection locked="0"/>
    </xf>
    <xf numFmtId="0" fontId="3" fillId="0" borderId="0" xfId="0" applyFont="1" applyProtection="1">
      <protection locked="0"/>
    </xf>
    <xf numFmtId="0" fontId="50" fillId="0" borderId="0" xfId="0" applyFont="1" applyProtection="1">
      <protection locked="0"/>
    </xf>
    <xf numFmtId="0" fontId="3" fillId="30" borderId="0" xfId="0" applyBorder="1" applyFont="1" applyFill="1" applyProtection="1">
      <protection locked="0"/>
    </xf>
    <xf numFmtId="0" fontId="7" fillId="30" borderId="5" xfId="0" applyAlignment="1" applyBorder="1" applyFont="1" applyFill="1" applyProtection="1">
      <alignment horizontal="center" vertical="center"/>
      <protection locked="0"/>
    </xf>
    <xf numFmtId="0" fontId="3" fillId="0" borderId="5" xfId="0" applyBorder="1" applyFont="1" applyProtection="1">
      <protection locked="0"/>
    </xf>
    <xf numFmtId="0" fontId="3" fillId="30" borderId="5" xfId="0" applyBorder="1" applyFont="1" applyFill="1" applyProtection="1">
      <protection locked="0"/>
    </xf>
    <xf numFmtId="0" fontId="3" fillId="0" borderId="0" xfId="0" applyFont="1" applyProtection="1" quotePrefix="1">
      <protection locked="0"/>
    </xf>
    <xf numFmtId="44" fontId="0" fillId="0" borderId="0" xfId="0" applyNumberFormat="1" applyProtection="1">
      <protection locked="0"/>
    </xf>
    <xf numFmtId="7" fontId="3" fillId="6" borderId="5" xfId="0" applyAlignment="1" applyBorder="1" applyFont="1" applyNumberFormat="1" applyFill="1" applyProtection="1">
      <alignment horizontal="right" vertical="center" wrapText="1"/>
    </xf>
    <xf numFmtId="44" fontId="3" fillId="6" borderId="5" xfId="0" applyAlignment="1" applyBorder="1" applyFont="1" applyNumberFormat="1" applyFill="1" applyProtection="1">
      <alignment vertical="center" wrapText="1"/>
      <protection locked="0"/>
    </xf>
    <xf numFmtId="0" fontId="3" fillId="0" borderId="0" xfId="0" applyAlignment="1" applyFont="1" applyFill="1" applyProtection="1">
      <alignment horizontal="center" vertical="center"/>
    </xf>
    <xf numFmtId="44" fontId="7" fillId="10" borderId="5" xfId="0" applyAlignment="1" applyBorder="1" applyFont="1" applyNumberFormat="1" applyFill="1" applyProtection="1">
      <alignment horizontal="right" vertical="center"/>
    </xf>
    <xf numFmtId="44" fontId="3" fillId="0" borderId="0" xfId="0" applyAlignment="1" applyBorder="1" applyFont="1" applyNumberFormat="1" applyFill="1" applyProtection="1">
      <alignment horizontal="center" vertical="center" wrapText="1"/>
    </xf>
    <xf numFmtId="0" fontId="3" fillId="6" borderId="5" xfId="0" applyAlignment="1" applyBorder="1" applyFont="1" applyFill="1" applyProtection="1">
      <alignment horizontal="center" vertical="center" wrapText="1"/>
    </xf>
    <xf numFmtId="44" fontId="5" fillId="6" borderId="7" xfId="0" applyAlignment="1" applyBorder="1" applyFont="1" applyNumberFormat="1" applyFill="1" applyProtection="1">
      <alignment horizontal="center" vertical="center" wrapText="1"/>
    </xf>
    <xf numFmtId="0" fontId="3" fillId="0" borderId="0" xfId="0" applyAlignment="1" applyFont="1" applyProtection="1">
      <alignment horizontal="center" vertical="center"/>
    </xf>
    <xf numFmtId="44" fontId="3" fillId="0" borderId="0" xfId="0" applyAlignment="1" applyFont="1" applyNumberFormat="1" applyProtection="1">
      <alignment horizontal="center" vertical="center"/>
    </xf>
    <xf numFmtId="0" fontId="3" fillId="0" borderId="9" xfId="0" applyAlignment="1" applyBorder="1" applyFont="1" applyProtection="1">
      <alignment horizontal="left" vertical="center"/>
    </xf>
    <xf numFmtId="0" fontId="3" fillId="8" borderId="11" xfId="0" applyAlignment="1" applyBorder="1" applyFont="1" applyFill="1" applyProtection="1">
      <alignment horizontal="center" vertical="center"/>
    </xf>
    <xf numFmtId="0" fontId="3" fillId="8" borderId="12" xfId="0" applyAlignment="1" applyBorder="1" applyFont="1" applyFill="1" applyProtection="1">
      <alignment horizontal="center" vertical="center"/>
    </xf>
    <xf numFmtId="44" fontId="3" fillId="6" borderId="58" xfId="0" applyAlignment="1" applyBorder="1" applyFont="1" applyNumberFormat="1" applyFill="1" applyProtection="1">
      <alignment horizontal="center" vertical="center" wrapText="1"/>
    </xf>
    <xf numFmtId="44" fontId="3" fillId="6" borderId="45" xfId="0" applyAlignment="1" applyBorder="1" applyFont="1" applyNumberFormat="1" applyFill="1" applyProtection="1">
      <alignment horizontal="center" vertical="center" wrapText="1"/>
    </xf>
    <xf numFmtId="44" fontId="5" fillId="6" borderId="56" xfId="0" applyAlignment="1" applyBorder="1" applyFont="1" applyNumberFormat="1" applyFill="1" applyProtection="1">
      <alignment horizontal="center" vertical="center" wrapText="1"/>
    </xf>
    <xf numFmtId="0" fontId="3" fillId="8" borderId="0" xfId="0" applyAlignment="1" applyBorder="1" applyFont="1" applyFill="1" applyProtection="1">
      <alignment horizontal="center" vertical="center"/>
    </xf>
    <xf numFmtId="0" fontId="3" fillId="8" borderId="13" xfId="0" applyAlignment="1" applyBorder="1" applyFont="1" applyFill="1" applyProtection="1">
      <alignment horizontal="center" vertical="center"/>
    </xf>
    <xf numFmtId="0" fontId="3" fillId="0" borderId="10" xfId="0" applyAlignment="1" applyBorder="1" applyFont="1" applyProtection="1">
      <alignment horizontal="left" vertical="center"/>
    </xf>
    <xf numFmtId="44" fontId="3" fillId="6" borderId="24" xfId="0" applyAlignment="1" applyBorder="1" applyFont="1" applyNumberFormat="1" applyFill="1" applyProtection="1">
      <alignment horizontal="center" vertical="center" wrapText="1"/>
    </xf>
    <xf numFmtId="44" fontId="3" fillId="6" borderId="5" xfId="0" applyAlignment="1" applyBorder="1" applyFont="1" applyNumberFormat="1" applyFill="1" applyProtection="1">
      <alignment horizontal="center" vertical="center" wrapText="1"/>
    </xf>
    <xf numFmtId="0" fontId="3" fillId="0" borderId="14" xfId="0" applyAlignment="1" applyBorder="1" applyFont="1" applyProtection="1">
      <alignment horizontal="left" vertical="center"/>
    </xf>
    <xf numFmtId="44" fontId="3" fillId="6" borderId="59" xfId="0" applyAlignment="1" applyBorder="1" applyFont="1" applyNumberFormat="1" applyFill="1" applyProtection="1">
      <alignment horizontal="center" vertical="center" wrapText="1"/>
    </xf>
    <xf numFmtId="44" fontId="3" fillId="6" borderId="47" xfId="0" applyAlignment="1" applyBorder="1" applyFont="1" applyNumberFormat="1" applyFill="1" applyProtection="1">
      <alignment horizontal="center" vertical="center" wrapText="1"/>
    </xf>
    <xf numFmtId="0" fontId="3" fillId="0" borderId="15" xfId="0" applyAlignment="1" applyBorder="1" applyFont="1" applyProtection="1">
      <alignment horizontal="left" vertical="center"/>
    </xf>
    <xf numFmtId="0" fontId="3" fillId="8" borderId="16" xfId="0" applyAlignment="1" applyBorder="1" applyFont="1" applyFill="1" applyProtection="1">
      <alignment horizontal="center" vertical="center"/>
    </xf>
    <xf numFmtId="0" fontId="3" fillId="8" borderId="17" xfId="0" applyAlignment="1" applyBorder="1" applyFont="1" applyFill="1" applyProtection="1">
      <alignment horizontal="center" vertical="center"/>
    </xf>
    <xf numFmtId="44" fontId="3" fillId="6" borderId="60" xfId="0" applyAlignment="1" applyBorder="1" applyFont="1" applyNumberFormat="1" applyFill="1" applyProtection="1">
      <alignment horizontal="center" vertical="center" wrapText="1"/>
    </xf>
    <xf numFmtId="44" fontId="3" fillId="6" borderId="61" xfId="0" applyAlignment="1" applyBorder="1" applyFont="1" applyNumberFormat="1" applyFill="1" applyProtection="1">
      <alignment horizontal="center" vertical="center" wrapText="1"/>
    </xf>
    <xf numFmtId="0" fontId="3" fillId="0" borderId="15" xfId="0" applyAlignment="1" applyBorder="1" applyFont="1" applyProtection="1">
      <alignment horizontal="left" vertical="center" wrapText="1"/>
    </xf>
    <xf numFmtId="7" fontId="3" fillId="6" borderId="4" xfId="0" applyAlignment="1" applyBorder="1" applyFont="1" applyNumberFormat="1" applyFill="1" applyProtection="1">
      <alignment horizontal="center" vertical="center" wrapText="1"/>
    </xf>
    <xf numFmtId="44" fontId="3" fillId="36" borderId="61" xfId="0" applyAlignment="1" applyBorder="1" applyFont="1" applyNumberFormat="1" applyFill="1" applyProtection="1">
      <alignment horizontal="center" vertical="center" wrapText="1"/>
    </xf>
    <xf numFmtId="44" fontId="5" fillId="36" borderId="5" xfId="0" applyAlignment="1" applyBorder="1" applyFont="1" applyNumberFormat="1" applyFill="1">
      <alignment horizontal="center" vertical="center" wrapText="1"/>
    </xf>
    <xf numFmtId="43" fontId="5" fillId="36" borderId="5" xfId="5" applyAlignment="1" applyBorder="1" applyFont="1" applyNumberFormat="1" applyFill="1">
      <alignment horizontal="right" vertical="center" wrapText="1"/>
    </xf>
    <xf numFmtId="0" fontId="7" fillId="36" borderId="0" xfId="0" applyAlignment="1" applyBorder="1" applyFont="1" applyFill="1">
      <alignment horizontal="center" vertical="center" wrapText="1"/>
    </xf>
    <xf numFmtId="0" fontId="7" fillId="36" borderId="5" xfId="0" applyAlignment="1" applyBorder="1" applyFont="1" applyFill="1" applyProtection="1">
      <alignment horizontal="center" vertical="center" wrapText="1"/>
      <protection locked="0"/>
    </xf>
    <xf numFmtId="44" fontId="5" fillId="6" borderId="24" xfId="0" applyAlignment="1" applyBorder="1" applyFont="1" applyNumberFormat="1" applyFill="1" applyProtection="1">
      <alignment horizontal="center" vertical="center" wrapText="1"/>
    </xf>
    <xf numFmtId="7" fontId="5" fillId="6" borderId="5" xfId="0" applyAlignment="1" applyBorder="1" applyFont="1" applyNumberFormat="1" applyFill="1" applyProtection="1">
      <alignment horizontal="center" vertical="center" wrapText="1"/>
    </xf>
    <xf numFmtId="0" fontId="3" fillId="0" borderId="0" xfId="0" applyFont="1" applyProtection="1"/>
    <xf numFmtId="7" fontId="5" fillId="0" borderId="5" xfId="0" applyAlignment="1" applyBorder="1" applyFont="1" applyNumberFormat="1" applyProtection="1">
      <alignment horizontal="center"/>
    </xf>
    <xf numFmtId="1" fontId="3" fillId="7" borderId="5" xfId="0" applyAlignment="1" applyBorder="1" applyFont="1" applyNumberFormat="1" applyFill="1" applyProtection="1">
      <alignment horizontal="center" vertical="center" wrapText="1"/>
    </xf>
    <xf numFmtId="1" fontId="3" fillId="0" borderId="5" xfId="0" applyAlignment="1" applyBorder="1" applyFont="1" applyNumberFormat="1" applyProtection="1">
      <alignment horizontal="center"/>
    </xf>
    <xf numFmtId="7" fontId="5" fillId="28" borderId="5" xfId="0" applyAlignment="1" applyBorder="1" applyFont="1" applyNumberFormat="1" applyFill="1" applyProtection="1">
      <alignment horizontal="center"/>
    </xf>
    <xf numFmtId="44" fontId="3" fillId="36" borderId="16" xfId="0" applyAlignment="1" applyBorder="1" applyFont="1" applyNumberFormat="1" applyFill="1" applyProtection="1">
      <alignment horizontal="center" vertical="center" wrapText="1"/>
    </xf>
    <xf numFmtId="0" fontId="7" fillId="7" borderId="4" xfId="0" applyAlignment="1" applyBorder="1" applyFont="1" applyFill="1" applyProtection="1">
      <alignment horizontal="center" vertical="center" wrapText="1"/>
    </xf>
    <xf numFmtId="0" fontId="3" fillId="0" borderId="0" xfId="0" applyAlignment="1" applyBorder="1" applyFont="1" applyProtection="1">
      <alignment horizontal="left" vertical="center"/>
    </xf>
    <xf numFmtId="44" fontId="3" fillId="6" borderId="0" xfId="0" applyAlignment="1" applyBorder="1" applyFont="1" applyNumberFormat="1" applyFill="1" applyProtection="1">
      <alignment horizontal="center" vertical="center" wrapText="1"/>
    </xf>
    <xf numFmtId="44" fontId="5" fillId="36" borderId="0" xfId="0" applyAlignment="1" applyBorder="1" applyFont="1" applyNumberFormat="1" applyFill="1" applyProtection="1">
      <alignment horizontal="center" vertical="center" wrapText="1"/>
    </xf>
    <xf numFmtId="44" fontId="5" fillId="6" borderId="0" xfId="0" applyAlignment="1" applyBorder="1" applyFont="1" applyNumberFormat="1" applyFill="1" applyProtection="1">
      <alignment horizontal="center" vertical="center" wrapText="1"/>
    </xf>
    <xf numFmtId="0" fontId="3" fillId="6" borderId="0" xfId="0" applyAlignment="1" applyBorder="1" applyFont="1" applyFill="1" applyProtection="1">
      <alignment horizontal="center" vertical="center" wrapText="1"/>
      <protection locked="0"/>
    </xf>
    <xf numFmtId="44" fontId="5" fillId="6" borderId="0" xfId="0" applyAlignment="1" applyBorder="1" applyFont="1" applyNumberFormat="1" applyFill="1" applyProtection="1">
      <alignment horizontal="center" vertical="center" wrapText="1"/>
      <protection locked="0"/>
    </xf>
    <xf numFmtId="0" fontId="3" fillId="0" borderId="0" xfId="0" applyAlignment="1" applyBorder="1" applyFont="1">
      <alignment horizontal="left" vertical="center"/>
    </xf>
    <xf numFmtId="0" fontId="3" fillId="6" borderId="0" xfId="0" applyAlignment="1" applyBorder="1" applyFont="1" applyFill="1">
      <alignment horizontal="center" vertical="center" wrapText="1"/>
    </xf>
    <xf numFmtId="44" fontId="5" fillId="6" borderId="0" xfId="0" applyAlignment="1" applyBorder="1" applyFont="1" applyNumberFormat="1" applyFill="1">
      <alignment horizontal="center" vertical="center" wrapText="1"/>
    </xf>
    <xf numFmtId="0" fontId="86" fillId="34" borderId="49" xfId="19" applyAlignment="1" applyBorder="1" applyFont="1" applyFill="1" applyProtection="1">
      <alignment horizontal="center" vertical="top" wrapText="1"/>
      <protection locked="0"/>
    </xf>
    <xf numFmtId="44" fontId="5" fillId="36" borderId="5" xfId="0" applyAlignment="1" applyBorder="1" applyFont="1" applyNumberFormat="1" applyFill="1" applyProtection="1">
      <alignment horizontal="center" vertical="center" wrapText="1"/>
    </xf>
    <xf numFmtId="43" fontId="5" fillId="6" borderId="5" xfId="5" applyAlignment="1" applyBorder="1" applyFont="1" applyNumberFormat="1" applyFill="1" applyProtection="1">
      <alignment horizontal="right" vertical="center" wrapText="1"/>
    </xf>
    <xf numFmtId="43" fontId="5" fillId="36" borderId="5" xfId="5" applyAlignment="1" applyBorder="1" applyFont="1" applyNumberFormat="1" applyFill="1" applyProtection="1">
      <alignment horizontal="right" vertical="center" wrapText="1"/>
    </xf>
    <xf numFmtId="1" fontId="3" fillId="28" borderId="5" xfId="0" applyAlignment="1" applyBorder="1" applyFont="1" applyNumberFormat="1" applyFill="1" applyProtection="1">
      <alignment horizontal="center" vertical="center" wrapText="1"/>
    </xf>
    <xf numFmtId="1" fontId="3" fillId="28" borderId="5" xfId="0" applyBorder="1" applyFont="1" applyNumberFormat="1" applyFill="1" applyProtection="1"/>
    <xf numFmtId="0" fontId="7" fillId="29" borderId="5" xfId="0" applyAlignment="1" applyBorder="1" applyFont="1" applyFill="1" applyProtection="1">
      <alignment horizontal="center" vertical="center" wrapText="1"/>
      <protection locked="0"/>
    </xf>
    <xf numFmtId="0" fontId="3" fillId="0" borderId="43" xfId="0" applyAlignment="1" applyBorder="1" applyFont="1" applyProtection="1">
      <alignment horizontal="center" vertical="center" wrapText="1"/>
      <protection locked="0"/>
    </xf>
    <xf numFmtId="0" fontId="86" fillId="34" borderId="62" xfId="19" applyAlignment="1" applyBorder="1" applyFont="1" applyFill="1" applyProtection="1">
      <alignment vertical="top" wrapText="1"/>
      <protection locked="0"/>
    </xf>
    <xf numFmtId="0" fontId="86" fillId="34" borderId="1" xfId="19" applyAlignment="1" applyBorder="1" applyFont="1" applyFill="1" applyProtection="1">
      <alignment vertical="top" wrapText="1"/>
      <protection locked="0"/>
    </xf>
    <xf numFmtId="0" fontId="86" fillId="34" borderId="63" xfId="19" applyAlignment="1" applyBorder="1" applyFont="1" applyFill="1" applyProtection="1">
      <alignment vertical="top" wrapText="1"/>
      <protection locked="0"/>
    </xf>
    <xf numFmtId="0" fontId="13" fillId="32" borderId="64" xfId="1" applyAlignment="1" applyBorder="1" applyFont="1" applyFill="1" applyProtection="1">
      <alignment vertical="top" wrapText="1"/>
      <protection locked="0"/>
    </xf>
    <xf numFmtId="0" fontId="13" fillId="34" borderId="51" xfId="1" applyAlignment="1" applyBorder="1" applyFont="1" applyFill="1" applyProtection="1">
      <alignment vertical="top" wrapText="1"/>
      <protection locked="0"/>
    </xf>
    <xf numFmtId="0" fontId="1" fillId="30" borderId="0" xfId="74" applyAlignment="1" applyFont="1" applyFill="1" applyProtection="1">
      <alignment vertical="top" wrapText="1"/>
      <protection locked="0"/>
    </xf>
    <xf numFmtId="0" fontId="38" fillId="30" borderId="0" xfId="1" applyAlignment="1" applyFont="1" applyFill="1" applyProtection="1">
      <alignment vertical="top" wrapText="1"/>
      <protection locked="0"/>
    </xf>
    <xf numFmtId="0" fontId="79" fillId="29" borderId="1" xfId="19" applyAlignment="1" applyBorder="1" applyFont="1" applyFill="1" applyProtection="1">
      <alignment vertical="top" wrapText="1"/>
      <protection locked="0"/>
    </xf>
    <xf numFmtId="0" fontId="86" fillId="35" borderId="1" xfId="19" applyAlignment="1" applyBorder="1" applyFont="1" applyFill="1" applyProtection="1">
      <alignment vertical="top" wrapText="1"/>
      <protection locked="0"/>
    </xf>
    <xf numFmtId="0" fontId="86" fillId="35" borderId="52" xfId="19" applyAlignment="1" applyBorder="1" applyFont="1" applyFill="1" applyProtection="1">
      <alignment vertical="top" wrapText="1"/>
      <protection locked="0"/>
    </xf>
    <xf numFmtId="0" fontId="13" fillId="34" borderId="65" xfId="1" applyAlignment="1" applyBorder="1" applyFont="1" applyFill="1" applyProtection="1">
      <alignment vertical="top" wrapText="1"/>
      <protection locked="0"/>
    </xf>
    <xf numFmtId="0" fontId="86" fillId="0" borderId="0" xfId="19" applyAlignment="1" applyBorder="1" applyFont="1" applyFill="1" applyProtection="1">
      <alignment vertical="top" wrapText="1"/>
      <protection locked="0"/>
    </xf>
    <xf numFmtId="0" fontId="86" fillId="0" borderId="43" xfId="19" applyAlignment="1" applyBorder="1" applyFont="1" applyFill="1" applyProtection="1">
      <alignment vertical="top" wrapText="1"/>
      <protection locked="0"/>
    </xf>
    <xf numFmtId="0" fontId="13" fillId="0" borderId="0" xfId="1" applyAlignment="1" applyFont="1" applyFill="1" applyProtection="1">
      <alignment vertical="top" wrapText="1"/>
      <protection locked="0"/>
    </xf>
    <xf numFmtId="0" fontId="13" fillId="0" borderId="0" xfId="1" applyAlignment="1" applyBorder="1" applyFont="1" applyFill="1" applyProtection="1">
      <alignment vertical="top" wrapText="1"/>
      <protection locked="0"/>
    </xf>
    <xf numFmtId="0" fontId="38" fillId="0" borderId="0" xfId="1" applyAlignment="1" applyFont="1" applyProtection="1">
      <alignment vertical="top" wrapText="1"/>
      <protection locked="0"/>
    </xf>
    <xf numFmtId="0" fontId="86" fillId="34" borderId="49" xfId="19" applyAlignment="1" applyBorder="1" applyFont="1" applyFill="1" applyProtection="1">
      <alignment vertical="top" wrapText="1"/>
      <protection locked="0"/>
    </xf>
    <xf numFmtId="0" fontId="86" fillId="35" borderId="5" xfId="19" applyAlignment="1" applyBorder="1" applyFont="1" applyFill="1" applyProtection="1">
      <alignment vertical="top" wrapText="1"/>
      <protection locked="0"/>
    </xf>
    <xf numFmtId="0" fontId="86" fillId="30" borderId="0" xfId="19" applyAlignment="1" applyBorder="1" applyFont="1" applyFill="1" applyProtection="1">
      <alignment vertical="top" wrapText="1"/>
      <protection locked="0"/>
    </xf>
    <xf numFmtId="0" fontId="13" fillId="30" borderId="0" xfId="1" applyAlignment="1" applyBorder="1" applyFont="1" applyFill="1" applyProtection="1">
      <alignment horizontal="center" vertical="top" wrapText="1"/>
      <protection locked="0"/>
    </xf>
    <xf numFmtId="0" fontId="87" fillId="30" borderId="0" xfId="19" applyAlignment="1" applyBorder="1" applyFont="1" applyFill="1" applyProtection="1">
      <alignment vertical="top" wrapText="1"/>
      <protection locked="0"/>
    </xf>
    <xf numFmtId="0" fontId="1" fillId="29" borderId="5" xfId="74" applyAlignment="1" applyBorder="1" applyFont="1" applyFill="1" applyProtection="1">
      <alignment vertical="top" wrapText="1"/>
      <protection locked="0"/>
    </xf>
    <xf numFmtId="0" fontId="79" fillId="29" borderId="66" xfId="19" applyAlignment="1" applyBorder="1" applyFont="1" applyFill="1" applyProtection="1">
      <alignment horizontal="center" vertical="top" wrapText="1"/>
      <protection locked="0"/>
    </xf>
    <xf numFmtId="0" fontId="86" fillId="35" borderId="49" xfId="19" applyAlignment="1" applyBorder="1" applyFont="1" applyFill="1" applyProtection="1">
      <alignment horizontal="left" vertical="top" wrapText="1"/>
      <protection locked="0"/>
    </xf>
    <xf numFmtId="6" fontId="86" fillId="34" borderId="5" xfId="19" applyAlignment="1" applyBorder="1" applyFont="1" applyNumberFormat="1" applyFill="1" applyProtection="1">
      <alignment horizontal="center" vertical="top" wrapText="1"/>
      <protection locked="0"/>
    </xf>
    <xf numFmtId="0" fontId="86" fillId="35" borderId="1" xfId="19" applyAlignment="1" applyBorder="1" applyFont="1" applyFill="1" applyProtection="1">
      <alignment horizontal="left" vertical="top" wrapText="1"/>
      <protection locked="0"/>
    </xf>
    <xf numFmtId="6" fontId="86" fillId="34" borderId="67" xfId="19" applyAlignment="1" applyBorder="1" applyFont="1" applyNumberFormat="1" applyFill="1" applyProtection="1">
      <alignment horizontal="center" vertical="top" wrapText="1"/>
      <protection locked="0"/>
    </xf>
    <xf numFmtId="6" fontId="86" fillId="34" borderId="1" xfId="19" applyAlignment="1" applyBorder="1" applyFont="1" applyNumberFormat="1" applyFill="1" applyProtection="1">
      <alignment horizontal="center" vertical="top" wrapText="1"/>
      <protection locked="0"/>
    </xf>
    <xf numFmtId="6" fontId="86" fillId="34" borderId="63" xfId="19" applyAlignment="1" applyBorder="1" applyFont="1" applyNumberFormat="1" applyFill="1" applyProtection="1">
      <alignment horizontal="center" vertical="top" wrapText="1"/>
      <protection locked="0"/>
    </xf>
    <xf numFmtId="0" fontId="86" fillId="34" borderId="5" xfId="19" applyAlignment="1" applyBorder="1" applyFont="1" applyFill="1" applyProtection="1">
      <alignment horizontal="center" vertical="top" wrapText="1"/>
      <protection locked="0"/>
    </xf>
    <xf numFmtId="0" fontId="79" fillId="29" borderId="49" xfId="19" applyAlignment="1" applyBorder="1" applyFont="1" applyFill="1" applyProtection="1">
      <alignment horizontal="left" vertical="top" wrapText="1"/>
      <protection locked="0"/>
    </xf>
    <xf numFmtId="0" fontId="86" fillId="34" borderId="67" xfId="19" applyAlignment="1" applyBorder="1" applyFont="1" applyFill="1" applyProtection="1">
      <alignment horizontal="center" vertical="top" wrapText="1"/>
      <protection locked="0"/>
    </xf>
    <xf numFmtId="0" fontId="86" fillId="34" borderId="63" xfId="19" applyAlignment="1" applyBorder="1" applyFont="1" applyFill="1" applyProtection="1">
      <alignment horizontal="center" vertical="top" wrapText="1"/>
      <protection locked="0"/>
    </xf>
    <xf numFmtId="0" fontId="86" fillId="29" borderId="0" xfId="19" applyAlignment="1" applyBorder="1" applyFont="1" applyFill="1" applyProtection="1">
      <alignment horizontal="center" vertical="top" wrapText="1"/>
      <protection locked="0"/>
    </xf>
    <xf numFmtId="0" fontId="79" fillId="35" borderId="49" xfId="19" applyAlignment="1" applyBorder="1" applyFont="1" applyFill="1" applyProtection="1">
      <alignment horizontal="left" vertical="top" wrapText="1"/>
      <protection locked="0"/>
    </xf>
    <xf numFmtId="0" fontId="47" fillId="35" borderId="1" xfId="19" applyAlignment="1" applyBorder="1" applyFont="1" applyFill="1" applyProtection="1">
      <alignment horizontal="left" vertical="top" wrapText="1"/>
      <protection locked="0"/>
    </xf>
    <xf numFmtId="43" fontId="86" fillId="34" borderId="1" xfId="19" applyAlignment="1" applyBorder="1" applyFont="1" applyNumberFormat="1" applyFill="1" applyProtection="1">
      <alignment horizontal="center" vertical="top" wrapText="1"/>
      <protection locked="0"/>
    </xf>
    <xf numFmtId="0" fontId="79" fillId="29" borderId="67" xfId="19" applyAlignment="1" applyBorder="1" applyFont="1" applyFill="1" applyProtection="1">
      <alignment horizontal="center" vertical="center" wrapText="1"/>
      <protection locked="0"/>
    </xf>
    <xf numFmtId="0" fontId="88" fillId="30" borderId="0" xfId="19" applyAlignment="1" applyBorder="1" applyFont="1" applyFill="1" applyProtection="1">
      <alignment vertical="top" wrapText="1"/>
      <protection locked="0"/>
    </xf>
    <xf numFmtId="0" fontId="38" fillId="30" borderId="0" xfId="1" applyAlignment="1" applyBorder="1" applyFont="1" applyFill="1" applyProtection="1">
      <alignment vertical="top" wrapText="1"/>
      <protection locked="0"/>
    </xf>
    <xf numFmtId="0" fontId="13" fillId="30" borderId="0" xfId="0" applyBorder="1" applyFont="1" applyFill="1" applyProtection="1"/>
    <xf numFmtId="0" fontId="79" fillId="35" borderId="1" xfId="19" applyAlignment="1" applyBorder="1" applyFont="1" applyFill="1" applyProtection="1">
      <alignment horizontal="left" wrapText="1"/>
      <protection locked="0"/>
    </xf>
    <xf numFmtId="0" fontId="86" fillId="34" borderId="68" xfId="19" applyAlignment="1" applyBorder="1" applyFont="1" applyFill="1" applyProtection="1">
      <alignment horizontal="left" wrapText="1"/>
      <protection locked="0"/>
    </xf>
    <xf numFmtId="0" fontId="13" fillId="32" borderId="64" xfId="1" applyAlignment="1" applyBorder="1" applyFont="1" applyFill="1" applyProtection="1">
      <alignment horizontal="left" wrapText="1"/>
      <protection locked="0"/>
    </xf>
    <xf numFmtId="9" fontId="13" fillId="34" borderId="69" xfId="1" applyAlignment="1" applyBorder="1" applyFont="1" applyNumberFormat="1" applyFill="1" applyProtection="1">
      <alignment horizontal="left" wrapText="1"/>
      <protection locked="0"/>
    </xf>
    <xf numFmtId="0" fontId="13" fillId="34" borderId="64" xfId="1" applyAlignment="1" applyBorder="1" applyFont="1" applyFill="1" applyProtection="1">
      <alignment horizontal="left" wrapText="1"/>
      <protection locked="0"/>
    </xf>
    <xf numFmtId="43" fontId="13" fillId="34" borderId="0" xfId="1" applyAlignment="1" applyBorder="1" applyFont="1" applyNumberFormat="1" applyFill="1" applyProtection="1">
      <alignment horizontal="left"/>
      <protection locked="0"/>
    </xf>
    <xf numFmtId="0" fontId="1" fillId="0" borderId="5" xfId="74" applyAlignment="1" applyBorder="1" applyFont="1" applyProtection="1">
      <alignment horizontal="left"/>
      <protection locked="0"/>
    </xf>
    <xf numFmtId="0" fontId="1" fillId="30" borderId="0" xfId="74" applyAlignment="1" applyBorder="1" applyFont="1" applyFill="1" applyProtection="1">
      <alignment horizontal="left"/>
      <protection locked="0"/>
    </xf>
    <xf numFmtId="43" fontId="1" fillId="0" borderId="5" xfId="76" applyAlignment="1" applyBorder="1" applyFont="1" applyNumberFormat="1" applyProtection="1">
      <alignment horizontal="left"/>
      <protection locked="0"/>
    </xf>
    <xf numFmtId="43" fontId="1" fillId="0" borderId="5" xfId="76" applyAlignment="1" applyBorder="1" applyFont="1" applyNumberFormat="1" applyFill="1" applyProtection="1">
      <alignment horizontal="left"/>
      <protection locked="0"/>
    </xf>
    <xf numFmtId="0" fontId="0" fillId="0" borderId="5" xfId="0" applyAlignment="1" applyBorder="1" applyProtection="1">
      <alignment horizontal="left"/>
      <protection locked="0"/>
    </xf>
    <xf numFmtId="0" fontId="86" fillId="34" borderId="62" xfId="19" applyAlignment="1" applyBorder="1" applyFont="1" applyFill="1" applyProtection="1">
      <alignment horizontal="left" wrapText="1"/>
      <protection locked="0"/>
    </xf>
    <xf numFmtId="0" fontId="13" fillId="34" borderId="69" xfId="1" applyAlignment="1" applyBorder="1" applyFont="1" applyNumberFormat="1" applyFill="1" applyProtection="1">
      <alignment horizontal="left" wrapText="1"/>
      <protection locked="0"/>
    </xf>
    <xf numFmtId="0" fontId="13" fillId="32" borderId="70" xfId="1" applyAlignment="1" applyBorder="1" applyFont="1" applyNumberFormat="1" applyFill="1" applyProtection="1">
      <alignment horizontal="left" wrapText="1"/>
      <protection locked="0"/>
    </xf>
    <xf numFmtId="0" fontId="13" fillId="34" borderId="51" xfId="1" applyAlignment="1" applyBorder="1" applyFont="1" applyFill="1" applyProtection="1">
      <alignment horizontal="left" wrapText="1"/>
      <protection locked="0"/>
    </xf>
    <xf numFmtId="0" fontId="86" fillId="34" borderId="1" xfId="19" applyAlignment="1" applyBorder="1" applyFont="1" applyFill="1" applyProtection="1">
      <alignment horizontal="left" wrapText="1"/>
      <protection locked="0"/>
    </xf>
    <xf numFmtId="0" fontId="13" fillId="30" borderId="0" xfId="1" applyAlignment="1" applyBorder="1" applyFont="1" applyFill="1" applyProtection="1">
      <alignment horizontal="left"/>
      <protection locked="0"/>
    </xf>
    <xf numFmtId="0" fontId="13" fillId="0" borderId="5" xfId="1" applyAlignment="1" applyBorder="1" applyFont="1" applyFill="1" applyProtection="1">
      <alignment horizontal="left"/>
      <protection locked="0"/>
    </xf>
    <xf numFmtId="0" fontId="53" fillId="30" borderId="0" xfId="10" applyAlignment="1" applyBorder="1" applyFont="1" applyFill="1" applyProtection="1">
      <alignment horizontal="left"/>
    </xf>
    <xf numFmtId="0" fontId="57" fillId="30" borderId="0" xfId="10" applyBorder="1" applyFont="1" applyFill="1" applyProtection="1"/>
    <xf numFmtId="0" fontId="0" fillId="30" borderId="0" xfId="0" applyAlignment="1" applyFill="1">
      <alignment wrapText="1"/>
    </xf>
    <xf numFmtId="0" fontId="47" fillId="30" borderId="0" xfId="0" applyAlignment="1" applyBorder="1" applyFont="1" applyFill="1" applyProtection="1">
      <alignment horizontal="left" vertical="top" wrapText="1"/>
    </xf>
    <xf numFmtId="0" fontId="38" fillId="30" borderId="0" xfId="0" applyBorder="1" applyFont="1" applyFill="1" applyProtection="1"/>
    <xf numFmtId="169" fontId="38" fillId="30" borderId="0" xfId="0" applyBorder="1" applyFont="1" applyNumberFormat="1" applyFill="1" applyProtection="1"/>
    <xf numFmtId="169" fontId="0" fillId="30" borderId="0" xfId="0" applyBorder="1" applyNumberFormat="1" applyFill="1" applyProtection="1"/>
    <xf numFmtId="0" fontId="47" fillId="30" borderId="0" xfId="0" applyAlignment="1" applyBorder="1" applyFont="1" applyFill="1" applyProtection="1">
      <alignment horizontal="left"/>
    </xf>
    <xf numFmtId="169" fontId="0" fillId="30" borderId="0" xfId="0" applyBorder="1" applyNumberFormat="1" applyFill="1"/>
    <xf numFmtId="169" fontId="38" fillId="30" borderId="0" xfId="0" applyBorder="1" applyFont="1" applyNumberFormat="1" applyFill="1"/>
    <xf numFmtId="0" fontId="47" fillId="30" borderId="0" xfId="0" applyAlignment="1" applyBorder="1" applyFont="1" applyFill="1">
      <alignment horizontal="left" vertical="top" wrapText="1"/>
    </xf>
    <xf numFmtId="0" fontId="38" fillId="30" borderId="0" xfId="0" applyBorder="1" applyFont="1" applyFill="1"/>
    <xf numFmtId="0" fontId="47" fillId="30" borderId="0" xfId="0" applyAlignment="1" applyBorder="1" applyFont="1" applyFill="1">
      <alignment horizontal="left"/>
    </xf>
    <xf numFmtId="169" fontId="0" fillId="30" borderId="0" xfId="0" applyNumberFormat="1" applyFill="1" applyProtection="1"/>
    <xf numFmtId="0" fontId="71" fillId="30" borderId="0" xfId="0" applyAlignment="1" applyFont="1" applyFill="1" applyProtection="1">
      <alignment vertical="top" wrapText="1"/>
    </xf>
    <xf numFmtId="169" fontId="57" fillId="30" borderId="0" xfId="0" applyBorder="1" applyFont="1" applyNumberFormat="1" applyFill="1" applyProtection="1"/>
    <xf numFmtId="0" fontId="57" fillId="30" borderId="0" xfId="0" applyAlignment="1" applyBorder="1" applyFont="1" applyFill="1" applyProtection="1">
      <alignment wrapText="1"/>
    </xf>
    <xf numFmtId="0" fontId="0" fillId="30" borderId="20" xfId="0" applyBorder="1" applyFill="1" applyProtection="1"/>
    <xf numFmtId="0" fontId="0" fillId="30" borderId="11" xfId="0" applyBorder="1" applyFill="1" applyProtection="1"/>
    <xf numFmtId="0" fontId="0" fillId="30" borderId="12" xfId="0" applyBorder="1" applyFill="1" applyProtection="1"/>
    <xf numFmtId="0" fontId="13" fillId="30" borderId="21" xfId="0" applyBorder="1" applyFont="1" applyFill="1" applyProtection="1"/>
    <xf numFmtId="43" fontId="0" fillId="30" borderId="13" xfId="5" applyBorder="1" applyFont="1" applyNumberFormat="1" applyFill="1" applyProtection="1"/>
    <xf numFmtId="0" fontId="0" fillId="30" borderId="21" xfId="0" applyBorder="1" applyFill="1" applyProtection="1"/>
    <xf numFmtId="0" fontId="0" fillId="30" borderId="13" xfId="0" applyBorder="1" applyFill="1" applyProtection="1"/>
    <xf numFmtId="0" fontId="0" fillId="30" borderId="22" xfId="0" applyBorder="1" applyFill="1" applyProtection="1"/>
    <xf numFmtId="0" fontId="0" fillId="30" borderId="18" xfId="0" applyBorder="1" applyFill="1" applyProtection="1"/>
    <xf numFmtId="0" fontId="0" fillId="30" borderId="23" xfId="0" applyBorder="1" applyFill="1" applyProtection="1"/>
    <xf numFmtId="0" fontId="0" fillId="30" borderId="0" xfId="0" applyAlignment="1" applyFill="1" applyProtection="1">
      <alignment vertical="top"/>
    </xf>
    <xf numFmtId="0" fontId="47" fillId="30" borderId="71" xfId="0" applyBorder="1" applyFont="1" applyFill="1" applyProtection="1"/>
    <xf numFmtId="0" fontId="0" fillId="30" borderId="55" xfId="0" applyBorder="1" applyFill="1" applyProtection="1"/>
    <xf numFmtId="0" fontId="47" fillId="30" borderId="72" xfId="0" applyBorder="1" applyFont="1" applyFill="1" applyProtection="1"/>
    <xf numFmtId="0" fontId="0" fillId="30" borderId="54" xfId="0" applyBorder="1" applyFill="1" applyProtection="1"/>
    <xf numFmtId="0" fontId="69" fillId="30" borderId="0" xfId="0" applyAlignment="1" applyBorder="1" applyFont="1" applyFill="1" applyProtection="1">
      <alignment vertical="top" wrapText="1"/>
    </xf>
    <xf numFmtId="8" fontId="69" fillId="30" borderId="0" xfId="0" applyAlignment="1" applyBorder="1" applyFont="1" applyNumberFormat="1" applyFill="1" applyProtection="1">
      <alignment vertical="top" wrapText="1"/>
    </xf>
    <xf numFmtId="0" fontId="71" fillId="30" borderId="27" xfId="0" applyAlignment="1" applyBorder="1" applyFont="1" applyFill="1" applyProtection="1">
      <alignment vertical="top" wrapText="1"/>
    </xf>
    <xf numFmtId="0" fontId="71" fillId="30" borderId="43" xfId="0" applyAlignment="1" applyBorder="1" applyFont="1" applyFill="1" applyProtection="1">
      <alignment vertical="top" wrapText="1"/>
    </xf>
    <xf numFmtId="0" fontId="71" fillId="30" borderId="44" xfId="0" applyAlignment="1" applyBorder="1" applyFont="1" applyFill="1" applyProtection="1">
      <alignment vertical="top" wrapText="1"/>
    </xf>
    <xf numFmtId="0" fontId="71" fillId="30" borderId="71" xfId="0" applyAlignment="1" applyBorder="1" applyFont="1" applyFill="1" applyProtection="1">
      <alignment vertical="top" wrapText="1"/>
    </xf>
    <xf numFmtId="0" fontId="71" fillId="30" borderId="0" xfId="0" applyAlignment="1" applyBorder="1" applyFont="1" applyFill="1" applyProtection="1">
      <alignment vertical="top" wrapText="1"/>
    </xf>
    <xf numFmtId="0" fontId="71" fillId="30" borderId="55" xfId="0" applyAlignment="1" applyBorder="1" applyFont="1" applyFill="1" applyProtection="1">
      <alignment vertical="top" wrapText="1"/>
    </xf>
    <xf numFmtId="0" fontId="0" fillId="30" borderId="71" xfId="0" applyBorder="1" applyFill="1" applyProtection="1"/>
    <xf numFmtId="8" fontId="0" fillId="30" borderId="0" xfId="0" applyBorder="1" applyNumberFormat="1" applyFill="1" applyProtection="1"/>
    <xf numFmtId="0" fontId="57" fillId="30" borderId="71" xfId="0" applyBorder="1" applyFont="1" applyFill="1" applyProtection="1"/>
    <xf numFmtId="0" fontId="57" fillId="30" borderId="0" xfId="0" applyBorder="1" applyFont="1" applyFill="1" applyProtection="1"/>
    <xf numFmtId="169" fontId="57" fillId="30" borderId="55" xfId="0" applyBorder="1" applyFont="1" applyNumberFormat="1" applyFill="1" applyProtection="1"/>
    <xf numFmtId="0" fontId="72" fillId="30" borderId="71" xfId="11" applyAlignment="1" applyBorder="1" applyFont="1" applyFill="1" applyProtection="1"/>
    <xf numFmtId="169" fontId="37" fillId="30" borderId="55" xfId="0" applyBorder="1" applyFont="1" applyNumberFormat="1" applyFill="1" applyProtection="1"/>
    <xf numFmtId="0" fontId="59" fillId="30" borderId="71" xfId="0" applyAlignment="1" applyBorder="1" applyFont="1" applyFill="1" applyProtection="1">
      <alignment horizontal="center" wrapText="1"/>
    </xf>
    <xf numFmtId="0" fontId="59" fillId="30" borderId="0" xfId="0" applyAlignment="1" applyBorder="1" applyFont="1" applyFill="1" applyProtection="1">
      <alignment horizontal="center" wrapText="1"/>
    </xf>
    <xf numFmtId="0" fontId="60" fillId="30" borderId="71" xfId="0" applyAlignment="1" applyBorder="1" applyFont="1" applyFill="1" applyProtection="1">
      <alignment horizontal="left" wrapText="1"/>
    </xf>
    <xf numFmtId="0" fontId="60" fillId="30" borderId="0" xfId="0" applyAlignment="1" applyBorder="1" applyFont="1" applyFill="1" applyProtection="1">
      <alignment horizontal="justify" vertical="top" wrapText="1"/>
    </xf>
    <xf numFmtId="169" fontId="0" fillId="30" borderId="55" xfId="0" applyBorder="1" applyNumberFormat="1" applyFill="1" applyProtection="1"/>
    <xf numFmtId="0" fontId="60" fillId="30" borderId="71" xfId="0" applyAlignment="1" applyBorder="1" applyFont="1" applyFill="1" applyProtection="1">
      <alignment horizontal="left" wrapText="1" indent="5"/>
    </xf>
    <xf numFmtId="3" fontId="60" fillId="30" borderId="0" xfId="0" applyAlignment="1" applyBorder="1" applyFont="1" applyNumberFormat="1" applyFill="1" applyProtection="1">
      <alignment horizontal="justify" vertical="top" wrapText="1"/>
    </xf>
    <xf numFmtId="0" fontId="60" fillId="30" borderId="72" xfId="0" applyAlignment="1" applyBorder="1" applyFont="1" applyFill="1" applyProtection="1">
      <alignment horizontal="left" wrapText="1" indent="5"/>
    </xf>
    <xf numFmtId="0" fontId="60" fillId="30" borderId="53" xfId="0" applyAlignment="1" applyBorder="1" applyFont="1" applyFill="1" applyProtection="1">
      <alignment horizontal="justify" vertical="top" wrapText="1"/>
    </xf>
    <xf numFmtId="3" fontId="60" fillId="30" borderId="53" xfId="0" applyAlignment="1" applyBorder="1" applyFont="1" applyNumberFormat="1" applyFill="1" applyProtection="1">
      <alignment horizontal="justify" vertical="top" wrapText="1"/>
    </xf>
    <xf numFmtId="0" fontId="60" fillId="30" borderId="0" xfId="0" applyAlignment="1" applyBorder="1" applyFont="1" applyFill="1" applyProtection="1">
      <alignment horizontal="left" wrapText="1" indent="2"/>
    </xf>
    <xf numFmtId="0" fontId="54" fillId="30" borderId="0" xfId="10" applyBorder="1" applyFont="1" applyFill="1" applyProtection="1"/>
    <xf numFmtId="0" fontId="55" fillId="30" borderId="0" xfId="10" applyAlignment="1" applyBorder="1" applyFont="1" applyFill="1" applyProtection="1">
      <alignment horizontal="left"/>
    </xf>
    <xf numFmtId="0" fontId="57" fillId="30" borderId="0" xfId="10" applyAlignment="1" applyBorder="1" applyFont="1" applyFill="1" applyProtection="1">
      <alignment vertical="top"/>
    </xf>
    <xf numFmtId="0" fontId="0" fillId="30" borderId="0" xfId="0" applyAlignment="1" applyBorder="1" applyFill="1" applyProtection="1">
      <alignment vertical="top" wrapText="1"/>
    </xf>
    <xf numFmtId="1" fontId="53" fillId="30" borderId="0" xfId="10" applyAlignment="1" applyBorder="1" applyFont="1" applyNumberFormat="1" applyFill="1" applyProtection="1">
      <alignment horizontal="left"/>
    </xf>
    <xf numFmtId="0" fontId="56" fillId="30" borderId="0" xfId="10" applyBorder="1" applyFont="1" applyFill="1" applyProtection="1"/>
    <xf numFmtId="0" fontId="58" fillId="30" borderId="0" xfId="10" applyAlignment="1" applyBorder="1" applyFont="1" applyFill="1" applyProtection="1">
      <alignment horizontal="left"/>
    </xf>
    <xf numFmtId="14" fontId="53" fillId="30" borderId="0" xfId="10" applyAlignment="1" applyBorder="1" applyFont="1" applyNumberFormat="1" applyFill="1" applyProtection="1">
      <alignment horizontal="left"/>
    </xf>
    <xf numFmtId="0" fontId="0" fillId="30" borderId="5" xfId="0" applyAlignment="1" applyBorder="1" applyFill="1" applyProtection="1">
      <alignment wrapText="1"/>
      <protection locked="0"/>
    </xf>
    <xf numFmtId="0" fontId="79" fillId="29" borderId="63" xfId="19" applyAlignment="1" applyBorder="1" applyFont="1" applyFill="1" applyProtection="1">
      <alignment horizontal="center" vertical="top" wrapText="1"/>
      <protection locked="0"/>
    </xf>
    <xf numFmtId="0" fontId="7" fillId="7" borderId="24" xfId="0" applyAlignment="1" applyBorder="1" applyFont="1" applyFill="1">
      <alignment horizontal="center" vertical="center" wrapText="1"/>
    </xf>
    <xf numFmtId="1" fontId="3" fillId="28" borderId="72" xfId="0" applyAlignment="1" applyBorder="1" applyFont="1" applyNumberFormat="1" applyFill="1" applyProtection="1">
      <alignment horizontal="center" vertical="center" wrapText="1"/>
      <protection locked="0"/>
    </xf>
    <xf numFmtId="43" fontId="3" fillId="0" borderId="5" xfId="5" applyBorder="1" applyFont="1" applyNumberFormat="1"/>
    <xf numFmtId="43" fontId="3" fillId="28" borderId="5" xfId="5" applyBorder="1" applyFont="1" applyNumberFormat="1" applyFill="1"/>
    <xf numFmtId="43" fontId="3" fillId="6" borderId="5" xfId="5" applyAlignment="1" applyBorder="1" applyFont="1" applyNumberFormat="1" applyFill="1" applyProtection="1">
      <alignment horizontal="right" vertical="center"/>
      <protection locked="0"/>
    </xf>
    <xf numFmtId="43" fontId="3" fillId="28" borderId="5" xfId="5" applyAlignment="1" applyBorder="1" applyFont="1" applyNumberFormat="1" applyFill="1">
      <alignment horizontal="center" vertical="center"/>
    </xf>
    <xf numFmtId="43" fontId="5" fillId="6" borderId="5" xfId="5" applyAlignment="1" applyBorder="1" applyFont="1" applyNumberFormat="1" applyFill="1">
      <alignment horizontal="center" vertical="center" wrapText="1"/>
    </xf>
    <xf numFmtId="8" fontId="3" fillId="28" borderId="5" xfId="0" applyAlignment="1" applyBorder="1" applyFont="1" applyNumberFormat="1" applyFill="1" applyProtection="1">
      <alignment horizontal="center" vertical="center"/>
      <protection locked="0"/>
    </xf>
    <xf numFmtId="44" fontId="3" fillId="28" borderId="5" xfId="0" applyAlignment="1" applyBorder="1" applyFont="1" applyNumberFormat="1" applyFill="1" applyProtection="1">
      <protection locked="0"/>
    </xf>
    <xf numFmtId="7" fontId="5" fillId="0" borderId="5" xfId="0" applyBorder="1" applyFont="1" applyNumberFormat="1" applyProtection="1"/>
    <xf numFmtId="0" fontId="3" fillId="8" borderId="5" xfId="0" applyAlignment="1" applyBorder="1" applyFont="1" applyFill="1" applyProtection="1">
      <alignment horizontal="left" vertical="center"/>
      <protection locked="0"/>
    </xf>
    <xf numFmtId="0" fontId="5" fillId="9" borderId="5" xfId="0" applyAlignment="1" applyBorder="1" applyFont="1" applyFill="1" applyProtection="1">
      <alignment horizontal="left" vertical="center" wrapText="1"/>
    </xf>
    <xf numFmtId="44" fontId="8" fillId="9" borderId="5" xfId="0" applyAlignment="1" applyBorder="1" applyFont="1" applyNumberFormat="1" applyFill="1" applyProtection="1">
      <alignment horizontal="center" vertical="center"/>
    </xf>
    <xf numFmtId="8" fontId="7" fillId="0" borderId="5" xfId="0" applyAlignment="1" applyBorder="1" applyFont="1" applyNumberFormat="1" applyFill="1" applyProtection="1">
      <alignment horizontal="left" vertical="center"/>
    </xf>
    <xf numFmtId="0" fontId="5" fillId="32" borderId="5" xfId="0" applyAlignment="1" applyBorder="1" applyFont="1" applyFill="1" applyProtection="1">
      <alignment horizontal="left" vertical="center" wrapText="1"/>
    </xf>
    <xf numFmtId="44" fontId="3" fillId="32" borderId="5" xfId="0" applyAlignment="1" applyBorder="1" applyFont="1" applyNumberFormat="1" applyFill="1" applyProtection="1">
      <alignment horizontal="center" vertical="center"/>
      <protection locked="0"/>
    </xf>
    <xf numFmtId="0" fontId="3" fillId="0" borderId="0" xfId="0" applyAlignment="1" applyFont="1" applyProtection="1">
      <alignment horizontal="center" vertical="center" wrapText="1"/>
      <protection locked="0"/>
    </xf>
    <xf numFmtId="0" fontId="3" fillId="7" borderId="5" xfId="0" applyAlignment="1" applyBorder="1" applyFont="1" applyFill="1" applyProtection="1">
      <alignment vertical="top" wrapText="1"/>
    </xf>
    <xf numFmtId="0" fontId="0" fillId="37" borderId="5" xfId="0" applyAlignment="1" applyBorder="1" applyFill="1" applyProtection="1">
      <alignment horizontal="left" vertical="top" wrapText="1"/>
      <protection locked="0"/>
    </xf>
    <xf numFmtId="0" fontId="13" fillId="37" borderId="5" xfId="0" applyAlignment="1" applyBorder="1" applyFont="1" applyFill="1" applyProtection="1">
      <alignment horizontal="left" vertical="top" wrapText="1"/>
      <protection locked="0"/>
    </xf>
    <xf numFmtId="0" fontId="0" fillId="30" borderId="0" xfId="0" applyAlignment="1" applyBorder="1" applyFill="1">
      <alignment horizontal="left" vertical="top"/>
    </xf>
    <xf numFmtId="14" fontId="13" fillId="37" borderId="5" xfId="0" applyAlignment="1" applyBorder="1" applyFont="1" applyNumberFormat="1" applyFill="1" applyProtection="1">
      <alignment horizontal="left" vertical="top" wrapText="1"/>
      <protection locked="0"/>
    </xf>
    <xf numFmtId="14" fontId="0" fillId="37" borderId="5" xfId="0" applyAlignment="1" applyBorder="1" applyNumberFormat="1" applyFill="1" applyProtection="1">
      <alignment horizontal="left" vertical="top" wrapText="1"/>
      <protection locked="0"/>
    </xf>
    <xf numFmtId="14" fontId="0" fillId="38" borderId="5" xfId="0" applyAlignment="1" applyBorder="1" applyNumberFormat="1" applyFill="1" applyProtection="1">
      <alignment horizontal="left" vertical="top" wrapText="1"/>
    </xf>
    <xf numFmtId="0" fontId="13" fillId="38" borderId="5" xfId="0" applyAlignment="1" applyBorder="1" applyFont="1" applyFill="1" applyProtection="1">
      <alignment horizontal="left" vertical="top" wrapText="1"/>
      <protection locked="0"/>
    </xf>
    <xf numFmtId="0" fontId="13" fillId="38" borderId="5" xfId="0" applyAlignment="1" applyBorder="1" applyFont="1" applyFill="1" applyProtection="1">
      <alignment horizontal="left" vertical="top"/>
      <protection locked="0"/>
    </xf>
    <xf numFmtId="0" fontId="5" fillId="39" borderId="5" xfId="0" applyAlignment="1" applyBorder="1" applyFont="1" applyFill="1" applyProtection="1">
      <alignment horizontal="left" vertical="top" wrapText="1"/>
      <protection locked="0"/>
    </xf>
    <xf numFmtId="0" fontId="74" fillId="30" borderId="0" xfId="0" applyAlignment="1" applyBorder="1" applyFont="1" applyFill="1">
      <alignment horizontal="left" vertical="top"/>
    </xf>
    <xf numFmtId="0" fontId="93" fillId="39" borderId="5" xfId="11" applyAlignment="1" applyBorder="1" applyFont="1" applyFill="1" applyProtection="1">
      <alignment horizontal="left" vertical="top" wrapText="1"/>
      <protection locked="0"/>
    </xf>
    <xf numFmtId="1" fontId="0" fillId="37" borderId="5" xfId="0" applyAlignment="1" applyBorder="1" applyNumberFormat="1" applyFill="1" applyProtection="1">
      <alignment horizontal="left" vertical="top" wrapText="1"/>
      <protection locked="0"/>
    </xf>
    <xf numFmtId="0" fontId="2" fillId="30" borderId="0" xfId="0" applyAlignment="1" applyBorder="1" applyFont="1" applyFill="1" applyProtection="1">
      <alignment horizontal="left" vertical="top"/>
    </xf>
    <xf numFmtId="0" fontId="5" fillId="39" borderId="5" xfId="0" applyAlignment="1" applyBorder="1" applyFont="1" applyFill="1" applyProtection="1">
      <alignment horizontal="left" vertical="top"/>
    </xf>
    <xf numFmtId="0" fontId="0" fillId="37" borderId="5" xfId="0" applyAlignment="1" applyBorder="1" applyFill="1" applyProtection="1">
      <alignment horizontal="left" vertical="top"/>
      <protection locked="0"/>
    </xf>
    <xf numFmtId="0" fontId="0" fillId="39" borderId="5" xfId="0" applyAlignment="1" applyBorder="1" applyFill="1">
      <alignment horizontal="left" vertical="top"/>
    </xf>
    <xf numFmtId="0" fontId="5" fillId="39" borderId="5" xfId="0" applyAlignment="1" applyBorder="1" applyFont="1" applyFill="1" applyProtection="1">
      <alignment horizontal="left" vertical="top"/>
      <protection locked="0"/>
    </xf>
    <xf numFmtId="0" fontId="5" fillId="30" borderId="0" xfId="0" applyAlignment="1" applyBorder="1" applyFont="1" applyFill="1">
      <alignment horizontal="left" vertical="top"/>
    </xf>
    <xf numFmtId="0" fontId="94" fillId="40" borderId="5" xfId="0" applyAlignment="1" applyBorder="1" applyFont="1" applyFill="1" applyProtection="1">
      <alignment horizontal="left" vertical="top"/>
      <protection locked="0"/>
    </xf>
    <xf numFmtId="0" fontId="0" fillId="38" borderId="5" xfId="0" applyAlignment="1" applyBorder="1" applyFill="1" applyProtection="1">
      <alignment horizontal="left" vertical="top"/>
    </xf>
    <xf numFmtId="0" fontId="94" fillId="40" borderId="5" xfId="0" applyAlignment="1" applyBorder="1" applyFont="1" applyFill="1" applyProtection="1">
      <alignment horizontal="left" vertical="top"/>
    </xf>
    <xf numFmtId="14" fontId="0" fillId="38" borderId="5" xfId="0" applyAlignment="1" applyBorder="1" applyNumberFormat="1" applyFill="1" applyProtection="1">
      <alignment horizontal="left" vertical="top"/>
    </xf>
    <xf numFmtId="0" fontId="8" fillId="30" borderId="0" xfId="0" applyAlignment="1" applyBorder="1" applyFont="1" applyFill="1">
      <alignment vertical="top"/>
    </xf>
    <xf numFmtId="0" fontId="72" fillId="30" borderId="0" xfId="11" applyAlignment="1" applyBorder="1" applyFont="1" applyFill="1" applyProtection="1">
      <alignment vertical="top"/>
    </xf>
    <xf numFmtId="0" fontId="0" fillId="30" borderId="0" xfId="0" applyAlignment="1" applyFill="1">
      <alignment vertical="top"/>
    </xf>
    <xf numFmtId="0" fontId="8" fillId="30" borderId="5" xfId="0" applyAlignment="1" applyBorder="1" applyFont="1" applyFill="1">
      <alignment vertical="top"/>
    </xf>
    <xf numFmtId="0" fontId="8" fillId="30" borderId="5" xfId="0" applyAlignment="1" applyBorder="1" applyFont="1" applyFill="1" applyProtection="1">
      <alignment vertical="top"/>
      <protection locked="0"/>
    </xf>
    <xf numFmtId="0" fontId="0" fillId="30" borderId="4" xfId="0" applyAlignment="1" applyBorder="1" applyFill="1" applyProtection="1">
      <alignment vertical="top"/>
      <protection locked="0"/>
    </xf>
    <xf numFmtId="0" fontId="8" fillId="30" borderId="7" xfId="0" applyAlignment="1" applyBorder="1" applyFont="1" applyFill="1" applyProtection="1">
      <alignment vertical="top"/>
      <protection locked="0"/>
    </xf>
    <xf numFmtId="0" fontId="0" fillId="30" borderId="27" xfId="0" applyAlignment="1" applyBorder="1" applyFill="1" applyProtection="1">
      <alignment vertical="top"/>
      <protection locked="0"/>
    </xf>
    <xf numFmtId="0" fontId="8" fillId="30" borderId="0" xfId="0" applyAlignment="1" applyFont="1" applyFill="1">
      <alignment vertical="top"/>
    </xf>
    <xf numFmtId="0" fontId="0" fillId="30" borderId="0" xfId="0" applyAlignment="1" applyFill="1">
      <alignment horizontal="left" vertical="top"/>
    </xf>
    <xf numFmtId="0" fontId="0" fillId="30" borderId="73" xfId="0" applyAlignment="1" applyBorder="1" applyFill="1">
      <alignment vertical="top"/>
    </xf>
    <xf numFmtId="0" fontId="0" fillId="30" borderId="45" xfId="0" applyAlignment="1" applyBorder="1" applyFill="1">
      <alignment vertical="top"/>
    </xf>
    <xf numFmtId="0" fontId="0" fillId="30" borderId="74" xfId="0" applyAlignment="1" applyBorder="1" applyFill="1">
      <alignment vertical="top"/>
    </xf>
    <xf numFmtId="0" fontId="0" fillId="30" borderId="5" xfId="0" applyAlignment="1" applyBorder="1" applyFill="1">
      <alignment vertical="top"/>
    </xf>
    <xf numFmtId="0" fontId="0" fillId="30" borderId="75" xfId="0" applyAlignment="1" applyBorder="1" applyFill="1">
      <alignment vertical="top"/>
    </xf>
    <xf numFmtId="0" fontId="0" fillId="30" borderId="47" xfId="0" applyAlignment="1" applyBorder="1" applyFill="1">
      <alignment vertical="top"/>
    </xf>
    <xf numFmtId="0" fontId="0" fillId="30" borderId="0" xfId="0" applyAlignment="1" applyBorder="1" applyFill="1">
      <alignment vertical="top"/>
    </xf>
    <xf numFmtId="0" fontId="89" fillId="30" borderId="0" xfId="0" applyAlignment="1" applyBorder="1" applyFont="1" applyFill="1">
      <alignment vertical="top"/>
    </xf>
    <xf numFmtId="0" fontId="7" fillId="30" borderId="5" xfId="0" applyAlignment="1" applyBorder="1" applyFont="1" applyFill="1">
      <alignment horizontal="center" vertical="top"/>
    </xf>
    <xf numFmtId="0" fontId="7" fillId="30" borderId="5" xfId="0" applyAlignment="1" applyBorder="1" applyFont="1" applyFill="1">
      <alignment horizontal="center" vertical="top" wrapText="1"/>
    </xf>
    <xf numFmtId="8" fontId="6" fillId="30" borderId="5" xfId="0" applyAlignment="1" applyBorder="1" applyFont="1" applyNumberFormat="1" applyFill="1" applyProtection="1">
      <alignment horizontal="center" vertical="top"/>
      <protection locked="0"/>
    </xf>
    <xf numFmtId="0" fontId="6" fillId="30" borderId="5" xfId="0" applyAlignment="1" applyBorder="1" applyFont="1" applyFill="1">
      <alignment horizontal="center" vertical="top" wrapText="1"/>
    </xf>
    <xf numFmtId="0" fontId="0" fillId="30" borderId="4" xfId="0" applyAlignment="1" applyBorder="1" applyFill="1">
      <alignment horizontal="left"/>
    </xf>
    <xf numFmtId="0" fontId="0" fillId="30" borderId="25" xfId="0" applyAlignment="1" applyBorder="1" applyFill="1">
      <alignment horizontal="left"/>
    </xf>
    <xf numFmtId="0" fontId="0" fillId="30" borderId="24" xfId="0" applyAlignment="1" applyBorder="1" applyFill="1">
      <alignment horizontal="left"/>
    </xf>
    <xf numFmtId="0" fontId="8" fillId="30" borderId="4" xfId="0" applyAlignment="1" applyBorder="1" applyFont="1" applyFill="1">
      <alignment horizontal="center"/>
    </xf>
    <xf numFmtId="0" fontId="8" fillId="30" borderId="25" xfId="0" applyAlignment="1" applyBorder="1" applyFont="1" applyFill="1">
      <alignment horizontal="center"/>
    </xf>
    <xf numFmtId="0" fontId="8" fillId="30" borderId="24" xfId="0" applyAlignment="1" applyBorder="1" applyFont="1" applyFill="1">
      <alignment horizontal="center"/>
    </xf>
    <xf numFmtId="1" fontId="3" fillId="28" borderId="5" xfId="0" applyAlignment="1" applyBorder="1" applyFont="1" applyNumberFormat="1" applyFill="1" applyProtection="1">
      <alignment horizontal="center" vertical="center" wrapText="1"/>
      <protection locked="0"/>
    </xf>
    <xf numFmtId="44" fontId="5" fillId="0" borderId="5" xfId="0" applyBorder="1" applyFont="1" applyNumberFormat="1"/>
    <xf numFmtId="6" fontId="86" fillId="34" borderId="5" xfId="19" applyAlignment="1" applyBorder="1" applyFont="1" applyNumberFormat="1" applyFill="1" applyProtection="1">
      <alignment horizontal="center" vertical="top"/>
      <protection locked="0"/>
    </xf>
    <xf numFmtId="0" fontId="79" fillId="29" borderId="4" xfId="19" applyAlignment="1" applyBorder="1" applyFont="1" applyFill="1" applyProtection="1">
      <alignment horizontal="center" vertical="top" wrapText="1"/>
      <protection locked="0"/>
    </xf>
    <xf numFmtId="0" fontId="13" fillId="34" borderId="76" xfId="1" applyAlignment="1" applyBorder="1" applyFont="1" applyFill="1" applyProtection="1">
      <alignment horizontal="left" wrapText="1"/>
      <protection locked="0"/>
    </xf>
    <xf numFmtId="6" fontId="86" fillId="34" borderId="4" xfId="19" applyAlignment="1" applyBorder="1" applyFont="1" applyNumberFormat="1" applyFill="1" applyProtection="1">
      <alignment horizontal="center" vertical="top"/>
      <protection locked="0"/>
    </xf>
    <xf numFmtId="0" fontId="1" fillId="30" borderId="0" xfId="74" applyBorder="1" applyFont="1" applyFill="1" applyProtection="1">
      <protection hidden="1"/>
    </xf>
    <xf numFmtId="43" fontId="1" fillId="30" borderId="5" xfId="74" applyAlignment="1" applyBorder="1" applyFont="1" applyNumberFormat="1" applyFill="1" applyProtection="1">
      <alignment wrapText="1"/>
      <protection hidden="1"/>
    </xf>
    <xf numFmtId="0" fontId="79" fillId="29" borderId="5" xfId="19" applyAlignment="1" applyBorder="1" applyFont="1" applyFill="1" applyProtection="1">
      <alignment horizontal="center" vertical="top" wrapText="1"/>
      <protection hidden="1"/>
    </xf>
    <xf numFmtId="0" fontId="79" fillId="41" borderId="24" xfId="19" applyAlignment="1" applyBorder="1" applyFont="1" applyFill="1" applyProtection="1">
      <alignment horizontal="center" vertical="top" wrapText="1"/>
      <protection hidden="1"/>
    </xf>
    <xf numFmtId="43" fontId="13" fillId="34" borderId="5" xfId="1" applyAlignment="1" applyBorder="1" applyFont="1" applyNumberFormat="1" applyFill="1" applyProtection="1">
      <alignment horizontal="left" wrapText="1"/>
      <protection hidden="1"/>
    </xf>
    <xf numFmtId="43" fontId="13" fillId="42" borderId="77" xfId="5" applyAlignment="1" applyBorder="1" applyFont="1" applyNumberFormat="1" applyFill="1" applyProtection="1">
      <alignment horizontal="left"/>
      <protection hidden="1"/>
    </xf>
    <xf numFmtId="0" fontId="1" fillId="30" borderId="0" xfId="74" applyAlignment="1" applyFont="1" applyFill="1" applyProtection="1">
      <alignment vertical="top"/>
      <protection hidden="1"/>
    </xf>
    <xf numFmtId="0" fontId="13" fillId="30" borderId="0" xfId="1" applyAlignment="1" applyBorder="1" applyFont="1" applyFill="1" applyProtection="1">
      <alignment vertical="top"/>
      <protection hidden="1"/>
    </xf>
    <xf numFmtId="0" fontId="79" fillId="41" borderId="78" xfId="19" applyAlignment="1" applyBorder="1" applyFont="1" applyFill="1" applyProtection="1">
      <alignment horizontal="center" vertical="top"/>
      <protection hidden="1"/>
    </xf>
    <xf numFmtId="0" fontId="13" fillId="0" borderId="0" xfId="1" applyAlignment="1" applyBorder="1" applyFont="1" applyFill="1" applyProtection="1">
      <alignment vertical="top"/>
      <protection hidden="1"/>
    </xf>
    <xf numFmtId="0" fontId="13" fillId="0" borderId="43" xfId="1" applyAlignment="1" applyBorder="1" applyFont="1" applyFill="1" applyProtection="1">
      <alignment vertical="top"/>
      <protection hidden="1"/>
    </xf>
    <xf numFmtId="0" fontId="38" fillId="0" borderId="0" xfId="1" applyAlignment="1" applyFont="1" applyProtection="1">
      <alignment vertical="top"/>
      <protection hidden="1"/>
    </xf>
    <xf numFmtId="43" fontId="13" fillId="42" borderId="77" xfId="1" applyAlignment="1" applyBorder="1" applyFont="1" applyNumberFormat="1" applyFill="1" applyProtection="1">
      <alignment vertical="top"/>
      <protection hidden="1"/>
    </xf>
    <xf numFmtId="0" fontId="79" fillId="41" borderId="5" xfId="19" applyAlignment="1" applyBorder="1" applyFont="1" applyFill="1" applyProtection="1">
      <alignment horizontal="center" vertical="top"/>
      <protection hidden="1"/>
    </xf>
    <xf numFmtId="0" fontId="79" fillId="29" borderId="0" xfId="19" applyAlignment="1" applyBorder="1" applyFont="1" applyFill="1" applyProtection="1">
      <alignment horizontal="center" vertical="top"/>
      <protection hidden="1"/>
    </xf>
    <xf numFmtId="43" fontId="13" fillId="42" borderId="24" xfId="1" applyAlignment="1" applyBorder="1" applyFont="1" applyNumberFormat="1" applyFill="1" applyProtection="1">
      <alignment vertical="top"/>
      <protection hidden="1"/>
    </xf>
    <xf numFmtId="0" fontId="86" fillId="29" borderId="0" xfId="19" applyAlignment="1" applyBorder="1" applyFont="1" applyFill="1" applyProtection="1">
      <alignment horizontal="center" vertical="top"/>
      <protection hidden="1"/>
    </xf>
    <xf numFmtId="0" fontId="48" fillId="30" borderId="0" xfId="74" applyAlignment="1" applyBorder="1" applyFont="1" applyFill="1" applyProtection="1">
      <alignment vertical="center"/>
      <protection locked="0"/>
    </xf>
    <xf numFmtId="0" fontId="0" fillId="29" borderId="0" xfId="0" applyFill="1" applyProtection="1">
      <protection locked="0"/>
    </xf>
    <xf numFmtId="0" fontId="17" fillId="29" borderId="0" xfId="0" applyFont="1" applyFill="1" applyProtection="1">
      <protection locked="0"/>
    </xf>
    <xf numFmtId="0" fontId="0" fillId="30" borderId="5" xfId="0" applyBorder="1" applyFill="1" applyProtection="1">
      <protection locked="0"/>
    </xf>
    <xf numFmtId="7" fontId="3" fillId="43" borderId="5" xfId="0" applyAlignment="1" applyBorder="1" applyFont="1" applyNumberFormat="1" applyFill="1" applyProtection="1">
      <alignment horizontal="center" vertical="center" wrapText="1"/>
      <protection hidden="1"/>
    </xf>
    <xf numFmtId="0" fontId="13" fillId="35" borderId="5" xfId="0" applyBorder="1" applyFont="1" applyFill="1" applyProtection="1">
      <protection locked="0"/>
    </xf>
    <xf numFmtId="0" fontId="17" fillId="29" borderId="5" xfId="0" applyBorder="1" applyFont="1" applyFill="1" applyProtection="1">
      <protection locked="0"/>
    </xf>
    <xf numFmtId="0" fontId="17" fillId="29" borderId="5" xfId="0" applyAlignment="1" applyBorder="1" applyFont="1" applyFill="1" applyProtection="1">
      <alignment horizontal="center" vertical="center"/>
      <protection locked="0"/>
    </xf>
    <xf numFmtId="0" fontId="0" fillId="32" borderId="0" xfId="0" applyFont="1" applyFill="1"/>
    <xf numFmtId="0" fontId="57" fillId="32" borderId="0" xfId="10" applyBorder="1" applyFont="1" applyFill="1" applyProtection="1"/>
    <xf numFmtId="0" fontId="53" fillId="32" borderId="0" xfId="10" applyAlignment="1" applyBorder="1" applyFont="1" applyFill="1" applyProtection="1">
      <alignment horizontal="left"/>
    </xf>
    <xf numFmtId="0" fontId="0" fillId="32" borderId="0" xfId="0" applyFill="1" applyProtection="1"/>
    <xf numFmtId="7" fontId="3" fillId="6" borderId="5" xfId="0" applyAlignment="1" applyBorder="1" applyFont="1" applyNumberFormat="1" applyFill="1" applyProtection="1">
      <alignment horizontal="center" vertical="center" wrapText="1"/>
      <protection hidden="1"/>
    </xf>
    <xf numFmtId="7" fontId="5" fillId="0" borderId="5" xfId="0" applyBorder="1" applyFont="1" applyNumberFormat="1" applyProtection="1">
      <protection hidden="1"/>
    </xf>
    <xf numFmtId="0" fontId="3" fillId="0" borderId="5" xfId="0" applyBorder="1" applyFont="1" applyProtection="1">
      <protection hidden="1"/>
    </xf>
    <xf numFmtId="6" fontId="3" fillId="0" borderId="6" xfId="0" applyAlignment="1" applyBorder="1" applyFont="1" applyNumberFormat="1" applyProtection="1">
      <alignment horizontal="left" vertical="top"/>
      <protection hidden="1"/>
    </xf>
    <xf numFmtId="6" fontId="3" fillId="0" borderId="5" xfId="0" applyAlignment="1" applyBorder="1" applyFont="1" applyNumberFormat="1" applyProtection="1">
      <alignment horizontal="left" vertical="top"/>
      <protection hidden="1"/>
    </xf>
    <xf numFmtId="6" fontId="3" fillId="0" borderId="7" xfId="0" applyAlignment="1" applyBorder="1" applyFont="1" applyNumberFormat="1" applyProtection="1">
      <alignment horizontal="left" vertical="top"/>
      <protection hidden="1"/>
    </xf>
    <xf numFmtId="0" fontId="3" fillId="0" borderId="6" xfId="0" applyAlignment="1" applyBorder="1" applyFont="1" applyProtection="1">
      <alignment horizontal="left" vertical="top"/>
      <protection hidden="1"/>
    </xf>
    <xf numFmtId="0" fontId="3" fillId="0" borderId="5" xfId="0" applyAlignment="1" applyBorder="1" applyFont="1" applyProtection="1">
      <alignment horizontal="left" vertical="top"/>
      <protection hidden="1"/>
    </xf>
    <xf numFmtId="0" fontId="1" fillId="0" borderId="0" xfId="132" applyFont="1"/>
    <xf numFmtId="43" fontId="90" fillId="0" borderId="0" xfId="132" applyBorder="1" applyFont="1" applyNumberFormat="1"/>
    <xf numFmtId="0" fontId="0" fillId="30" borderId="0" xfId="0" applyAlignment="1" applyBorder="1" applyFill="1" applyProtection="1">
      <alignment horizontal="left"/>
      <protection locked="0"/>
    </xf>
    <xf numFmtId="0" fontId="13" fillId="29" borderId="5" xfId="0" applyBorder="1" applyFont="1" applyFill="1" applyProtection="1">
      <protection locked="0"/>
    </xf>
    <xf numFmtId="0" fontId="13" fillId="30" borderId="5" xfId="0" applyBorder="1" applyFont="1" applyFill="1" applyProtection="1">
      <protection locked="0"/>
    </xf>
    <xf numFmtId="0" fontId="0" fillId="0" borderId="0" xfId="0" applyProtection="1">
      <protection hidden="1"/>
    </xf>
    <xf numFmtId="0" fontId="104" fillId="0" borderId="5" xfId="327" applyAlignment="1" applyBorder="1" applyFont="1" applyProtection="1">
      <alignment horizontal="right" wrapText="1"/>
      <protection hidden="1"/>
    </xf>
    <xf numFmtId="44" fontId="104" fillId="0" borderId="5" xfId="328" applyAlignment="1" applyBorder="1" applyFont="1" applyNumberFormat="1" applyProtection="1">
      <alignment horizontal="center" vertical="center"/>
      <protection hidden="1"/>
    </xf>
    <xf numFmtId="44" fontId="104" fillId="0" borderId="5" xfId="328" applyAlignment="1" applyBorder="1" applyFont="1" applyNumberFormat="1" applyFill="1" applyProtection="1">
      <alignment horizontal="center"/>
      <protection hidden="1"/>
    </xf>
    <xf numFmtId="44" fontId="104" fillId="0" borderId="0" xfId="328" applyAlignment="1" applyBorder="1" applyFont="1" applyNumberFormat="1" applyProtection="1">
      <alignment horizontal="center" vertical="center"/>
      <protection hidden="1"/>
    </xf>
    <xf numFmtId="0" fontId="1" fillId="0" borderId="0" xfId="327" applyFont="1" applyProtection="1">
      <protection hidden="1"/>
    </xf>
    <xf numFmtId="0" fontId="104" fillId="0" borderId="0" xfId="328" applyAlignment="1" applyFont="1" applyNumberFormat="1" applyProtection="1">
      <alignment horizontal="center"/>
      <protection hidden="1"/>
    </xf>
    <xf numFmtId="0" fontId="43" fillId="32" borderId="5" xfId="327" applyBorder="1" applyFont="1" applyFill="1" applyProtection="1">
      <protection hidden="1"/>
    </xf>
    <xf numFmtId="0" fontId="43" fillId="0" borderId="0" xfId="328" applyAlignment="1" applyBorder="1" applyFont="1" applyNumberFormat="1" applyFill="1" applyProtection="1">
      <alignment horizontal="center"/>
      <protection hidden="1"/>
    </xf>
    <xf numFmtId="0" fontId="43" fillId="0" borderId="0" xfId="328" applyAlignment="1" applyBorder="1" applyFont="1" applyNumberFormat="1" applyFill="1" applyProtection="1">
      <protection hidden="1"/>
    </xf>
    <xf numFmtId="0" fontId="43" fillId="32" borderId="4" xfId="327" applyBorder="1" applyFont="1" applyFill="1" applyProtection="1">
      <protection hidden="1"/>
    </xf>
    <xf numFmtId="44" fontId="43" fillId="32" borderId="5" xfId="328" applyAlignment="1" applyBorder="1" applyFont="1" applyNumberFormat="1" applyFill="1" applyProtection="1">
      <alignment horizontal="center"/>
      <protection hidden="1"/>
    </xf>
    <xf numFmtId="0" fontId="43" fillId="0" borderId="0" xfId="328" applyAlignment="1" applyBorder="1" applyFont="1" applyNumberFormat="1" applyFill="1" applyProtection="1">
      <alignment horizontal="center" vertical="center"/>
      <protection hidden="1"/>
    </xf>
    <xf numFmtId="0" fontId="104" fillId="0" borderId="6" xfId="327" applyAlignment="1" applyBorder="1" applyFont="1" applyProtection="1">
      <alignment wrapText="1"/>
      <protection hidden="1"/>
    </xf>
    <xf numFmtId="0" fontId="104" fillId="0" borderId="6" xfId="327" applyAlignment="1" applyBorder="1" applyFont="1" applyProtection="1">
      <alignment horizontal="center" vertical="center" wrapText="1"/>
      <protection hidden="1"/>
    </xf>
    <xf numFmtId="0" fontId="104" fillId="0" borderId="6" xfId="327" applyAlignment="1" applyBorder="1" applyFont="1" applyFill="1" applyProtection="1">
      <alignment horizontal="center" vertical="center" wrapText="1"/>
      <protection hidden="1"/>
    </xf>
    <xf numFmtId="0" fontId="13" fillId="30" borderId="0" xfId="0" applyBorder="1" applyFont="1" applyFill="1"/>
    <xf numFmtId="0" fontId="3" fillId="0" borderId="0" xfId="0" applyFont="1" applyProtection="1">
      <protection hidden="1"/>
    </xf>
    <xf numFmtId="0" fontId="3" fillId="0" borderId="6" xfId="0" applyBorder="1" applyFont="1" applyProtection="1">
      <protection hidden="1"/>
    </xf>
    <xf numFmtId="0" fontId="3" fillId="0" borderId="7" xfId="0" applyBorder="1" applyFont="1" applyProtection="1">
      <protection hidden="1"/>
    </xf>
    <xf numFmtId="0" fontId="3" fillId="0" borderId="0" xfId="0" applyAlignment="1" applyFont="1">
      <alignment wrapText="1"/>
    </xf>
    <xf numFmtId="0" fontId="3" fillId="0" borderId="5" xfId="0" applyAlignment="1" applyBorder="1" applyFont="1">
      <alignment wrapText="1"/>
    </xf>
    <xf numFmtId="0" fontId="3" fillId="0" borderId="6" xfId="0" applyAlignment="1" applyBorder="1" applyFont="1">
      <alignment wrapText="1"/>
    </xf>
    <xf numFmtId="0" fontId="3" fillId="0" borderId="7" xfId="0" applyAlignment="1" applyBorder="1" applyFont="1">
      <alignment wrapText="1"/>
    </xf>
    <xf numFmtId="0" fontId="90" fillId="0" borderId="0" xfId="132" applyAlignment="1" applyBorder="1" applyFont="1">
      <alignment wrapText="1"/>
    </xf>
    <xf numFmtId="0" fontId="9" fillId="0" borderId="0" xfId="0" applyAlignment="1" applyFont="1"/>
    <xf numFmtId="0" fontId="0" fillId="30" borderId="0" xfId="0" applyFill="1" applyProtection="1">
      <protection hidden="1"/>
    </xf>
    <xf numFmtId="0" fontId="89" fillId="39" borderId="8" xfId="0" applyAlignment="1" applyBorder="1" applyFont="1" applyFill="1" applyProtection="1">
      <alignment vertical="center"/>
      <protection hidden="1"/>
    </xf>
    <xf numFmtId="0" fontId="57" fillId="30" borderId="0" xfId="10" applyBorder="1" applyFont="1" applyFill="1" applyProtection="1">
      <protection hidden="1"/>
    </xf>
    <xf numFmtId="0" fontId="53" fillId="30" borderId="0" xfId="10" applyAlignment="1" applyBorder="1" applyFont="1" applyFill="1" applyProtection="1">
      <alignment horizontal="left"/>
      <protection hidden="1"/>
    </xf>
    <xf numFmtId="0" fontId="54" fillId="39" borderId="5" xfId="10" applyBorder="1" applyFont="1" applyFill="1" applyProtection="1">
      <protection hidden="1"/>
    </xf>
    <xf numFmtId="0" fontId="57" fillId="30" borderId="5" xfId="10" applyAlignment="1" applyBorder="1" applyFont="1" applyFill="1" applyProtection="1">
      <alignment horizontal="center" vertical="top"/>
      <protection hidden="1"/>
    </xf>
    <xf numFmtId="44" fontId="47" fillId="30" borderId="0" xfId="0" applyBorder="1" applyFont="1" applyNumberFormat="1" applyFill="1" applyProtection="1">
      <protection hidden="1"/>
    </xf>
    <xf numFmtId="0" fontId="0" fillId="30" borderId="0" xfId="0" applyBorder="1" applyFill="1" applyProtection="1">
      <protection hidden="1"/>
    </xf>
    <xf numFmtId="0" fontId="17" fillId="40" borderId="7" xfId="22" applyAlignment="1" applyBorder="1" applyFont="1" applyFill="1" applyProtection="1">
      <alignment horizontal="left" vertical="top"/>
      <protection hidden="1"/>
    </xf>
    <xf numFmtId="0" fontId="13" fillId="30" borderId="5" xfId="22" applyAlignment="1" applyBorder="1" applyFont="1" applyFill="1" applyProtection="1">
      <alignment horizontal="left" vertical="top"/>
      <protection hidden="1"/>
    </xf>
    <xf numFmtId="175" fontId="17" fillId="30" borderId="5" xfId="5" applyAlignment="1" applyBorder="1" applyFont="1" applyNumberFormat="1" applyFill="1" applyProtection="1">
      <alignment horizontal="center"/>
      <protection hidden="1"/>
    </xf>
    <xf numFmtId="0" fontId="56" fillId="39" borderId="5" xfId="10" applyAlignment="1" applyBorder="1" applyFont="1" applyFill="1" applyProtection="1">
      <alignment horizontal="left"/>
      <protection hidden="1"/>
    </xf>
    <xf numFmtId="169" fontId="58" fillId="30" borderId="5" xfId="5" applyAlignment="1" applyBorder="1" applyFont="1" applyNumberFormat="1" applyFill="1" applyProtection="1">
      <alignment horizontal="center" vertical="top"/>
      <protection hidden="1"/>
    </xf>
    <xf numFmtId="169" fontId="58" fillId="30" borderId="0" xfId="5" applyAlignment="1" applyBorder="1" applyFont="1" applyNumberFormat="1" applyFill="1" applyProtection="1">
      <alignment horizontal="left"/>
      <protection hidden="1"/>
    </xf>
    <xf numFmtId="0" fontId="13" fillId="40" borderId="5" xfId="22" applyAlignment="1" applyBorder="1" applyFont="1" applyFill="1" applyProtection="1">
      <alignment horizontal="left" vertical="top"/>
      <protection hidden="1"/>
    </xf>
    <xf numFmtId="0" fontId="0" fillId="30" borderId="5" xfId="0" applyBorder="1" applyFill="1" applyProtection="1">
      <protection hidden="1"/>
    </xf>
    <xf numFmtId="4" fontId="17" fillId="30" borderId="5" xfId="22" applyAlignment="1" applyBorder="1" applyFont="1" applyNumberFormat="1" applyFill="1" applyProtection="1">
      <alignment horizontal="right"/>
      <protection hidden="1"/>
    </xf>
    <xf numFmtId="0" fontId="56" fillId="36" borderId="5" xfId="10" applyAlignment="1" applyBorder="1" applyFont="1" applyFill="1" applyProtection="1">
      <alignment horizontal="left"/>
      <protection hidden="1"/>
    </xf>
    <xf numFmtId="169" fontId="58" fillId="36" borderId="5" xfId="5" applyAlignment="1" applyBorder="1" applyFont="1" applyNumberFormat="1" applyFill="1" applyProtection="1">
      <alignment horizontal="center" vertical="top"/>
      <protection hidden="1"/>
    </xf>
    <xf numFmtId="43" fontId="58" fillId="36" borderId="5" xfId="5" applyAlignment="1" applyBorder="1" applyFont="1" applyNumberFormat="1" applyFill="1" applyProtection="1">
      <alignment horizontal="center" vertical="top"/>
      <protection hidden="1"/>
    </xf>
    <xf numFmtId="43" fontId="58" fillId="30" borderId="0" xfId="5" applyAlignment="1" applyBorder="1" applyFont="1" applyNumberFormat="1" applyFill="1" applyProtection="1">
      <alignment horizontal="left"/>
      <protection hidden="1"/>
    </xf>
    <xf numFmtId="175" fontId="13" fillId="30" borderId="5" xfId="5" applyAlignment="1" applyBorder="1" applyFont="1" applyNumberFormat="1" applyFill="1" applyProtection="1">
      <alignment horizontal="right"/>
      <protection hidden="1"/>
    </xf>
    <xf numFmtId="169" fontId="82" fillId="30" borderId="0" xfId="5" applyAlignment="1" applyBorder="1" applyFont="1" applyNumberFormat="1" applyFill="1" applyProtection="1">
      <alignment horizontal="left" vertical="top"/>
      <protection hidden="1"/>
    </xf>
    <xf numFmtId="0" fontId="13" fillId="40" borderId="79" xfId="22" applyAlignment="1" applyBorder="1" applyFont="1" applyFill="1" applyProtection="1">
      <alignment horizontal="left" vertical="top"/>
      <protection hidden="1"/>
    </xf>
    <xf numFmtId="4" fontId="13" fillId="30" borderId="5" xfId="22" applyAlignment="1" applyBorder="1" applyFont="1" applyNumberFormat="1" applyFill="1" applyProtection="1">
      <alignment horizontal="right"/>
      <protection hidden="1"/>
    </xf>
    <xf numFmtId="0" fontId="56" fillId="40" borderId="5" xfId="10" applyAlignment="1" applyBorder="1" applyFont="1" applyFill="1" applyProtection="1">
      <alignment horizontal="left" wrapText="1"/>
      <protection hidden="1"/>
    </xf>
    <xf numFmtId="0" fontId="17" fillId="40" borderId="5" xfId="22" applyAlignment="1" applyBorder="1" applyFont="1" applyFill="1" applyProtection="1">
      <alignment horizontal="left" vertical="top"/>
      <protection hidden="1"/>
    </xf>
    <xf numFmtId="0" fontId="17" fillId="30" borderId="5" xfId="22" applyAlignment="1" applyBorder="1" applyFont="1" applyFill="1" applyProtection="1">
      <alignment horizontal="left" vertical="top"/>
      <protection hidden="1"/>
    </xf>
    <xf numFmtId="0" fontId="13" fillId="40" borderId="7" xfId="0" applyBorder="1" applyFont="1" applyFill="1" applyProtection="1">
      <protection hidden="1"/>
    </xf>
    <xf numFmtId="0" fontId="0" fillId="30" borderId="43" xfId="0" applyBorder="1" applyFill="1" applyProtection="1">
      <protection hidden="1"/>
    </xf>
    <xf numFmtId="0" fontId="0" fillId="30" borderId="44" xfId="0" applyBorder="1" applyFill="1" applyProtection="1">
      <protection hidden="1"/>
    </xf>
    <xf numFmtId="0" fontId="56" fillId="40" borderId="7" xfId="10" applyAlignment="1" applyBorder="1" applyFont="1" applyFill="1" applyProtection="1">
      <alignment horizontal="left" wrapText="1"/>
      <protection hidden="1"/>
    </xf>
    <xf numFmtId="169" fontId="58" fillId="30" borderId="7" xfId="5" applyAlignment="1" applyBorder="1" applyFont="1" applyNumberFormat="1" applyFill="1" applyProtection="1">
      <alignment horizontal="center" vertical="top"/>
      <protection hidden="1"/>
    </xf>
    <xf numFmtId="0" fontId="0" fillId="30" borderId="0" xfId="0" applyAlignment="1" applyFill="1" applyProtection="1">
      <protection hidden="1"/>
    </xf>
    <xf numFmtId="0" fontId="17" fillId="40" borderId="79" xfId="22" applyAlignment="1" applyBorder="1" applyFont="1" applyFill="1" applyProtection="1">
      <alignment horizontal="left" vertical="top"/>
      <protection hidden="1"/>
    </xf>
    <xf numFmtId="0" fontId="17" fillId="30" borderId="0" xfId="22" applyAlignment="1" applyBorder="1" applyFont="1" applyFill="1" applyProtection="1">
      <alignment horizontal="left" vertical="top"/>
      <protection hidden="1"/>
    </xf>
    <xf numFmtId="4" fontId="17" fillId="30" borderId="55" xfId="22" applyAlignment="1" applyBorder="1" applyFont="1" applyNumberFormat="1" applyFill="1" applyProtection="1">
      <alignment horizontal="right"/>
      <protection hidden="1"/>
    </xf>
    <xf numFmtId="0" fontId="97" fillId="40" borderId="8" xfId="10" applyAlignment="1" applyBorder="1" applyFont="1" applyFill="1" applyProtection="1">
      <alignment horizontal="left" wrapText="1"/>
      <protection hidden="1"/>
    </xf>
    <xf numFmtId="172" fontId="90" fillId="36" borderId="8" xfId="0" applyAlignment="1" applyBorder="1" applyFont="1" applyNumberFormat="1" applyFill="1" applyProtection="1">
      <alignment horizontal="center" vertical="top"/>
      <protection hidden="1"/>
    </xf>
    <xf numFmtId="172" fontId="90" fillId="39" borderId="8" xfId="0" applyAlignment="1" applyBorder="1" applyFont="1" applyNumberFormat="1" applyFill="1" applyProtection="1">
      <alignment horizontal="center" vertical="top"/>
      <protection hidden="1"/>
    </xf>
    <xf numFmtId="0" fontId="89" fillId="44" borderId="8" xfId="22" applyAlignment="1" applyBorder="1" applyFont="1" applyFill="1" applyProtection="1">
      <alignment horizontal="left" vertical="top"/>
      <protection hidden="1"/>
    </xf>
    <xf numFmtId="3" fontId="89" fillId="44" borderId="8" xfId="22" applyAlignment="1" applyBorder="1" applyFont="1" applyNumberFormat="1" applyFill="1" applyProtection="1">
      <alignment horizontal="left" vertical="top"/>
      <protection hidden="1"/>
    </xf>
    <xf numFmtId="4" fontId="98" fillId="44" borderId="8" xfId="22" applyAlignment="1" applyBorder="1" applyFont="1" applyNumberFormat="1" applyFill="1" applyProtection="1">
      <alignment horizontal="right"/>
      <protection hidden="1"/>
    </xf>
    <xf numFmtId="0" fontId="0" fillId="0" borderId="0" xfId="0" applyBorder="1" applyProtection="1">
      <protection hidden="1"/>
    </xf>
    <xf numFmtId="0" fontId="0" fillId="30" borderId="0" xfId="0" applyAlignment="1" applyFill="1" applyProtection="1">
      <alignment wrapText="1"/>
      <protection hidden="1"/>
    </xf>
    <xf numFmtId="0" fontId="13" fillId="32" borderId="8" xfId="0" applyBorder="1" applyFont="1" applyFill="1" applyProtection="1">
      <protection hidden="1"/>
    </xf>
    <xf numFmtId="0" fontId="0" fillId="32" borderId="8" xfId="0" applyBorder="1" applyFill="1" applyProtection="1">
      <protection hidden="1"/>
    </xf>
    <xf numFmtId="175" fontId="0" fillId="32" borderId="8" xfId="0" applyBorder="1" applyNumberFormat="1" applyFill="1" applyProtection="1">
      <protection hidden="1"/>
    </xf>
    <xf numFmtId="0" fontId="54" fillId="40" borderId="5" xfId="10" applyBorder="1" applyFont="1" applyFill="1" applyProtection="1">
      <protection hidden="1"/>
    </xf>
    <xf numFmtId="0" fontId="0" fillId="30" borderId="0" xfId="0" applyAlignment="1" applyBorder="1" applyFill="1" applyProtection="1">
      <protection hidden="1"/>
    </xf>
    <xf numFmtId="0" fontId="17" fillId="40" borderId="8" xfId="0" applyBorder="1" applyFont="1" applyFill="1" applyProtection="1">
      <protection hidden="1"/>
    </xf>
    <xf numFmtId="175" fontId="99" fillId="40" borderId="8" xfId="0" applyBorder="1" applyFont="1" applyNumberFormat="1" applyFill="1" applyProtection="1">
      <protection hidden="1"/>
    </xf>
    <xf numFmtId="0" fontId="37" fillId="40" borderId="5" xfId="0" applyAlignment="1" applyBorder="1" applyFont="1" applyFill="1" applyProtection="1">
      <alignment wrapText="1"/>
      <protection hidden="1"/>
    </xf>
    <xf numFmtId="0" fontId="37" fillId="40" borderId="5" xfId="0" applyAlignment="1" applyBorder="1" applyFont="1" applyFill="1" applyProtection="1">
      <alignment horizontal="left" wrapText="1"/>
      <protection hidden="1"/>
    </xf>
    <xf numFmtId="0" fontId="37" fillId="40" borderId="5" xfId="0" applyAlignment="1" applyBorder="1" applyFont="1" applyFill="1" applyProtection="1">
      <alignment horizontal="center" vertical="center" wrapText="1"/>
      <protection hidden="1"/>
    </xf>
    <xf numFmtId="0" fontId="37" fillId="40" borderId="7" xfId="0" applyAlignment="1" applyBorder="1" applyFont="1" applyFill="1" applyProtection="1">
      <alignment horizontal="center" vertical="center" wrapText="1"/>
      <protection hidden="1"/>
    </xf>
    <xf numFmtId="0" fontId="46" fillId="30" borderId="5" xfId="0" applyAlignment="1" applyBorder="1" applyFont="1" applyFill="1" applyProtection="1">
      <alignment horizontal="left" wrapText="1"/>
      <protection hidden="1"/>
    </xf>
    <xf numFmtId="0" fontId="0" fillId="30" borderId="0" xfId="0" applyAlignment="1" applyFill="1" applyProtection="1">
      <alignment horizontal="left" wrapText="1"/>
      <protection hidden="1"/>
    </xf>
    <xf numFmtId="0" fontId="37" fillId="40" borderId="4" xfId="0" applyBorder="1" applyFont="1" applyFill="1" applyProtection="1">
      <protection hidden="1"/>
    </xf>
    <xf numFmtId="0" fontId="0" fillId="45" borderId="5" xfId="0" applyBorder="1" applyFill="1" applyProtection="1">
      <protection hidden="1"/>
    </xf>
    <xf numFmtId="169" fontId="37" fillId="46" borderId="5" xfId="0" applyBorder="1" applyFont="1" applyNumberFormat="1" applyFill="1" applyProtection="1">
      <protection hidden="1"/>
    </xf>
    <xf numFmtId="169" fontId="37" fillId="29" borderId="5" xfId="0" applyBorder="1" applyFont="1" applyNumberFormat="1" applyFill="1" applyProtection="1">
      <protection hidden="1"/>
    </xf>
    <xf numFmtId="169" fontId="37" fillId="47" borderId="5" xfId="0" applyBorder="1" applyFont="1" applyNumberFormat="1" applyFill="1" applyProtection="1">
      <protection hidden="1"/>
    </xf>
    <xf numFmtId="169" fontId="37" fillId="48" borderId="4" xfId="0" applyBorder="1" applyFont="1" applyNumberFormat="1" applyFill="1" applyProtection="1">
      <protection hidden="1"/>
    </xf>
    <xf numFmtId="169" fontId="37" fillId="40" borderId="8" xfId="0" applyBorder="1" applyFont="1" applyNumberFormat="1" applyFill="1" applyProtection="1">
      <protection hidden="1"/>
    </xf>
    <xf numFmtId="169" fontId="0" fillId="30" borderId="5" xfId="0" applyBorder="1" applyNumberFormat="1" applyFill="1" applyProtection="1">
      <protection hidden="1"/>
    </xf>
    <xf numFmtId="0" fontId="0" fillId="40" borderId="0" xfId="0" applyFill="1" applyProtection="1">
      <protection hidden="1"/>
    </xf>
    <xf numFmtId="169" fontId="0" fillId="45" borderId="5" xfId="0" applyBorder="1" applyNumberFormat="1" applyFill="1" applyProtection="1">
      <protection hidden="1"/>
    </xf>
    <xf numFmtId="169" fontId="0" fillId="46" borderId="5" xfId="0" applyBorder="1" applyNumberFormat="1" applyFill="1" applyProtection="1">
      <protection hidden="1"/>
    </xf>
    <xf numFmtId="0" fontId="0" fillId="29" borderId="0" xfId="0" applyFill="1" applyProtection="1">
      <protection hidden="1"/>
    </xf>
    <xf numFmtId="0" fontId="0" fillId="47" borderId="0" xfId="0" applyFill="1" applyProtection="1">
      <protection hidden="1"/>
    </xf>
    <xf numFmtId="0" fontId="0" fillId="48" borderId="4" xfId="0" applyBorder="1" applyFill="1" applyProtection="1">
      <protection hidden="1"/>
    </xf>
    <xf numFmtId="0" fontId="0" fillId="40" borderId="8" xfId="0" applyBorder="1" applyFill="1" applyProtection="1">
      <protection hidden="1"/>
    </xf>
    <xf numFmtId="0" fontId="0" fillId="40" borderId="4" xfId="0" applyAlignment="1" applyBorder="1" applyFill="1" applyProtection="1">
      <alignment horizontal="left"/>
      <protection hidden="1"/>
    </xf>
    <xf numFmtId="0" fontId="0" fillId="30" borderId="5" xfId="0" applyAlignment="1" applyBorder="1" applyFill="1" applyProtection="1">
      <alignment horizontal="left"/>
      <protection hidden="1"/>
    </xf>
    <xf numFmtId="175" fontId="0" fillId="45" borderId="5" xfId="5" applyAlignment="1" applyBorder="1" applyFont="1" applyNumberFormat="1" applyFill="1" applyProtection="1">
      <alignment horizontal="right"/>
      <protection hidden="1"/>
    </xf>
    <xf numFmtId="175" fontId="0" fillId="46" borderId="5" xfId="5" applyAlignment="1" applyBorder="1" applyFont="1" applyNumberFormat="1" applyFill="1" applyProtection="1">
      <alignment horizontal="right"/>
      <protection hidden="1"/>
    </xf>
    <xf numFmtId="175" fontId="0" fillId="29" borderId="5" xfId="5" applyAlignment="1" applyBorder="1" applyFont="1" applyNumberFormat="1" applyFill="1" applyProtection="1">
      <alignment horizontal="right"/>
      <protection hidden="1"/>
    </xf>
    <xf numFmtId="175" fontId="0" fillId="47" borderId="5" xfId="5" applyAlignment="1" applyBorder="1" applyFont="1" applyNumberFormat="1" applyFill="1" applyProtection="1">
      <alignment horizontal="right"/>
      <protection hidden="1"/>
    </xf>
    <xf numFmtId="175" fontId="0" fillId="48" borderId="4" xfId="5" applyAlignment="1" applyBorder="1" applyFont="1" applyNumberFormat="1" applyFill="1" applyProtection="1">
      <alignment horizontal="right"/>
      <protection hidden="1"/>
    </xf>
    <xf numFmtId="175" fontId="0" fillId="40" borderId="8" xfId="5" applyBorder="1" applyFont="1" applyNumberFormat="1" applyFill="1" applyProtection="1">
      <protection hidden="1"/>
    </xf>
    <xf numFmtId="0" fontId="47" fillId="40" borderId="4" xfId="0" applyAlignment="1" applyBorder="1" applyFont="1" applyFill="1" applyProtection="1">
      <alignment horizontal="left"/>
      <protection hidden="1"/>
    </xf>
    <xf numFmtId="0" fontId="47" fillId="30" borderId="5" xfId="0" applyAlignment="1" applyBorder="1" applyFont="1" applyFill="1" applyProtection="1">
      <alignment horizontal="left"/>
      <protection hidden="1"/>
    </xf>
    <xf numFmtId="0" fontId="47" fillId="40" borderId="27" xfId="0" applyAlignment="1" applyBorder="1" applyFont="1" applyFill="1" applyProtection="1">
      <alignment horizontal="left"/>
      <protection hidden="1"/>
    </xf>
    <xf numFmtId="0" fontId="47" fillId="30" borderId="7" xfId="0" applyAlignment="1" applyBorder="1" applyFont="1" applyFill="1" applyProtection="1">
      <alignment horizontal="left"/>
      <protection hidden="1"/>
    </xf>
    <xf numFmtId="175" fontId="0" fillId="45" borderId="7" xfId="5" applyAlignment="1" applyBorder="1" applyFont="1" applyNumberFormat="1" applyFill="1" applyProtection="1">
      <alignment horizontal="right"/>
      <protection hidden="1"/>
    </xf>
    <xf numFmtId="175" fontId="0" fillId="46" borderId="7" xfId="5" applyAlignment="1" applyBorder="1" applyFont="1" applyNumberFormat="1" applyFill="1" applyProtection="1">
      <alignment horizontal="right"/>
      <protection hidden="1"/>
    </xf>
    <xf numFmtId="175" fontId="0" fillId="29" borderId="7" xfId="5" applyAlignment="1" applyBorder="1" applyFont="1" applyNumberFormat="1" applyFill="1" applyProtection="1">
      <alignment horizontal="right"/>
      <protection hidden="1"/>
    </xf>
    <xf numFmtId="175" fontId="37" fillId="47" borderId="7" xfId="5" applyAlignment="1" applyBorder="1" applyFont="1" applyNumberFormat="1" applyFill="1" applyProtection="1">
      <alignment horizontal="right"/>
      <protection hidden="1"/>
    </xf>
    <xf numFmtId="175" fontId="0" fillId="48" borderId="27" xfId="5" applyAlignment="1" applyBorder="1" applyFont="1" applyNumberFormat="1" applyFill="1" applyProtection="1">
      <alignment horizontal="right"/>
      <protection hidden="1"/>
    </xf>
    <xf numFmtId="0" fontId="0" fillId="30" borderId="4" xfId="0" applyBorder="1" applyFill="1" applyProtection="1">
      <protection hidden="1"/>
    </xf>
    <xf numFmtId="0" fontId="0" fillId="30" borderId="25" xfId="0" applyBorder="1" applyFill="1" applyProtection="1">
      <protection hidden="1"/>
    </xf>
    <xf numFmtId="0" fontId="17" fillId="30" borderId="0" xfId="0" applyBorder="1" applyFont="1" applyFill="1" applyProtection="1">
      <protection hidden="1"/>
    </xf>
    <xf numFmtId="175" fontId="79" fillId="30" borderId="25" xfId="5" applyAlignment="1" applyBorder="1" applyFont="1" applyNumberFormat="1" applyFill="1" applyProtection="1">
      <alignment horizontal="right" vertical="top" wrapText="1"/>
      <protection hidden="1"/>
    </xf>
    <xf numFmtId="175" fontId="79" fillId="30" borderId="55" xfId="5" applyAlignment="1" applyBorder="1" applyFont="1" applyNumberFormat="1" applyFill="1" applyProtection="1">
      <alignment horizontal="center" vertical="top" wrapText="1"/>
      <protection hidden="1"/>
    </xf>
    <xf numFmtId="0" fontId="13" fillId="40" borderId="6" xfId="0" applyAlignment="1" applyBorder="1" applyFont="1" applyFill="1" applyProtection="1">
      <alignment wrapText="1"/>
      <protection hidden="1"/>
    </xf>
    <xf numFmtId="175" fontId="0" fillId="45" borderId="54" xfId="5" applyAlignment="1" applyBorder="1" applyFont="1" applyNumberFormat="1" applyFill="1" applyProtection="1">
      <alignment horizontal="right"/>
      <protection hidden="1"/>
    </xf>
    <xf numFmtId="175" fontId="0" fillId="46" borderId="6" xfId="5" applyAlignment="1" applyBorder="1" applyFont="1" applyNumberFormat="1" applyFill="1" applyProtection="1">
      <alignment horizontal="right"/>
      <protection hidden="1"/>
    </xf>
    <xf numFmtId="175" fontId="0" fillId="29" borderId="6" xfId="5" applyAlignment="1" applyBorder="1" applyFont="1" applyNumberFormat="1" applyFill="1" applyProtection="1">
      <alignment horizontal="right"/>
      <protection hidden="1"/>
    </xf>
    <xf numFmtId="175" fontId="0" fillId="47" borderId="6" xfId="5" applyAlignment="1" applyBorder="1" applyFont="1" applyNumberFormat="1" applyFill="1" applyProtection="1">
      <alignment horizontal="right"/>
      <protection hidden="1"/>
    </xf>
    <xf numFmtId="175" fontId="0" fillId="48" borderId="72" xfId="5" applyAlignment="1" applyBorder="1" applyFont="1" applyNumberFormat="1" applyFill="1" applyProtection="1">
      <alignment horizontal="right"/>
      <protection hidden="1"/>
    </xf>
    <xf numFmtId="0" fontId="13" fillId="40" borderId="5" xfId="0" applyBorder="1" applyFont="1" applyFill="1" applyProtection="1">
      <protection hidden="1"/>
    </xf>
    <xf numFmtId="0" fontId="0" fillId="30" borderId="7" xfId="0" applyBorder="1" applyFill="1" applyProtection="1">
      <protection hidden="1"/>
    </xf>
    <xf numFmtId="175" fontId="0" fillId="47" borderId="7" xfId="5" applyAlignment="1" applyBorder="1" applyFont="1" applyNumberFormat="1" applyFill="1" applyProtection="1">
      <alignment horizontal="right"/>
      <protection hidden="1"/>
    </xf>
    <xf numFmtId="175" fontId="0" fillId="40" borderId="80" xfId="5" applyBorder="1" applyFont="1" applyNumberFormat="1" applyFill="1" applyProtection="1">
      <protection hidden="1"/>
    </xf>
    <xf numFmtId="175" fontId="0" fillId="30" borderId="0" xfId="0" applyNumberFormat="1" applyFill="1" applyProtection="1">
      <protection hidden="1"/>
    </xf>
    <xf numFmtId="0" fontId="92" fillId="44" borderId="8" xfId="0" applyBorder="1" applyFont="1" applyFill="1" applyProtection="1">
      <protection hidden="1"/>
    </xf>
    <xf numFmtId="169" fontId="103" fillId="44" borderId="8" xfId="0" applyBorder="1" applyFont="1" applyNumberFormat="1" applyFill="1" applyProtection="1">
      <protection hidden="1"/>
    </xf>
    <xf numFmtId="169" fontId="92" fillId="44" borderId="17" xfId="0" applyBorder="1" applyFont="1" applyNumberFormat="1" applyFill="1" applyProtection="1">
      <protection hidden="1"/>
    </xf>
    <xf numFmtId="169" fontId="38" fillId="30" borderId="0" xfId="0" applyBorder="1" applyFont="1" applyNumberFormat="1" applyFill="1" applyProtection="1">
      <protection hidden="1"/>
    </xf>
    <xf numFmtId="0" fontId="38" fillId="30" borderId="0" xfId="0" applyBorder="1" applyFont="1" applyFill="1" applyProtection="1">
      <protection hidden="1"/>
    </xf>
    <xf numFmtId="0" fontId="47" fillId="30" borderId="0" xfId="0" applyAlignment="1" applyBorder="1" applyFont="1" applyFill="1" applyProtection="1">
      <alignment horizontal="left"/>
      <protection hidden="1"/>
    </xf>
    <xf numFmtId="169" fontId="0" fillId="30" borderId="0" xfId="0" applyBorder="1" applyNumberFormat="1" applyFill="1" applyProtection="1">
      <protection hidden="1"/>
    </xf>
    <xf numFmtId="0" fontId="47" fillId="30" borderId="0" xfId="0" applyAlignment="1" applyBorder="1" applyFont="1" applyFill="1" applyProtection="1">
      <alignment horizontal="left" vertical="top" wrapText="1"/>
      <protection hidden="1"/>
    </xf>
    <xf numFmtId="0" fontId="42" fillId="32" borderId="5" xfId="0" applyBorder="1" applyFont="1" applyFill="1" applyProtection="1">
      <protection hidden="1"/>
    </xf>
    <xf numFmtId="0" fontId="47" fillId="32" borderId="5" xfId="0" applyAlignment="1" applyBorder="1" applyFont="1" applyFill="1" applyProtection="1">
      <alignment horizontal="left"/>
      <protection hidden="1"/>
    </xf>
    <xf numFmtId="175" fontId="0" fillId="32" borderId="5" xfId="5" applyAlignment="1" applyBorder="1" applyFont="1" applyNumberFormat="1" applyFill="1" applyProtection="1">
      <alignment horizontal="right"/>
      <protection hidden="1"/>
    </xf>
    <xf numFmtId="175" fontId="37" fillId="32" borderId="5" xfId="5" applyAlignment="1" applyBorder="1" applyFont="1" applyNumberFormat="1" applyFill="1" applyProtection="1">
      <alignment horizontal="right"/>
      <protection hidden="1"/>
    </xf>
    <xf numFmtId="175" fontId="0" fillId="32" borderId="4" xfId="5" applyAlignment="1" applyBorder="1" applyFont="1" applyNumberFormat="1" applyFill="1" applyProtection="1">
      <alignment horizontal="right"/>
      <protection hidden="1"/>
    </xf>
    <xf numFmtId="175" fontId="0" fillId="32" borderId="8" xfId="5" applyBorder="1" applyFont="1" applyNumberFormat="1" applyFill="1" applyProtection="1">
      <protection hidden="1"/>
    </xf>
    <xf numFmtId="0" fontId="99" fillId="39" borderId="8" xfId="0" applyBorder="1" applyFont="1" applyFill="1" applyProtection="1">
      <protection hidden="1"/>
    </xf>
    <xf numFmtId="0" fontId="100" fillId="39" borderId="8" xfId="0" applyBorder="1" applyFont="1" applyFill="1" applyProtection="1">
      <protection hidden="1"/>
    </xf>
    <xf numFmtId="0" fontId="101" fillId="30" borderId="0" xfId="0" applyBorder="1" applyFont="1" applyFill="1" applyProtection="1">
      <protection hidden="1"/>
    </xf>
    <xf numFmtId="175" fontId="102" fillId="39" borderId="8" xfId="5" applyBorder="1" applyFont="1" applyNumberFormat="1" applyFill="1" applyProtection="1">
      <protection hidden="1"/>
    </xf>
    <xf numFmtId="175" fontId="102" fillId="30" borderId="8" xfId="5" applyBorder="1" applyFont="1" applyNumberFormat="1" applyFill="1" applyProtection="1">
      <protection hidden="1"/>
    </xf>
    <xf numFmtId="0" fontId="15" fillId="39" borderId="5" xfId="0" applyBorder="1" applyFont="1" applyFill="1" applyProtection="1">
      <protection hidden="1"/>
    </xf>
    <xf numFmtId="0" fontId="83" fillId="49" borderId="5" xfId="0" applyAlignment="1" applyBorder="1" applyFont="1" applyFill="1" applyProtection="1">
      <alignment horizontal="center" vertical="center"/>
      <protection hidden="1"/>
    </xf>
    <xf numFmtId="169" fontId="38" fillId="0" borderId="0" xfId="0" applyBorder="1" applyFont="1" applyNumberFormat="1" applyFill="1" applyProtection="1">
      <protection hidden="1"/>
    </xf>
    <xf numFmtId="169" fontId="0" fillId="0" borderId="0" xfId="0" applyBorder="1" applyNumberFormat="1" applyFill="1" applyProtection="1">
      <protection hidden="1"/>
    </xf>
    <xf numFmtId="0" fontId="7" fillId="7" borderId="5" xfId="0" applyAlignment="1" applyBorder="1" applyFont="1" applyFill="1" applyProtection="1">
      <alignment horizontal="center" vertical="center" wrapText="1"/>
      <protection hidden="1"/>
    </xf>
    <xf numFmtId="0" fontId="5" fillId="7" borderId="5" xfId="0" applyAlignment="1" applyBorder="1" applyFont="1" applyFill="1" applyProtection="1">
      <alignment horizontal="center" vertical="center" wrapText="1"/>
      <protection hidden="1"/>
    </xf>
    <xf numFmtId="0" fontId="5" fillId="0" borderId="5" xfId="0" applyAlignment="1" applyBorder="1" applyFont="1" applyProtection="1">
      <alignment horizontal="center" vertical="center"/>
      <protection hidden="1"/>
    </xf>
    <xf numFmtId="0" fontId="3" fillId="7" borderId="5" xfId="0" applyAlignment="1" applyBorder="1" applyFont="1" applyFill="1" applyProtection="1">
      <alignment vertical="top" wrapText="1"/>
      <protection hidden="1"/>
    </xf>
    <xf numFmtId="0" fontId="90" fillId="0" borderId="8" xfId="132" applyAlignment="1" applyBorder="1" applyFont="1" applyProtection="1">
      <alignment wrapText="1"/>
      <protection hidden="1"/>
    </xf>
    <xf numFmtId="43" fontId="90" fillId="0" borderId="8" xfId="132" applyBorder="1" applyFont="1" applyNumberFormat="1" applyProtection="1">
      <protection hidden="1"/>
    </xf>
    <xf numFmtId="0" fontId="1" fillId="0" borderId="0" xfId="132" applyAlignment="1" applyFont="1" applyProtection="1">
      <alignment vertical="center" wrapText="1"/>
      <protection hidden="1"/>
    </xf>
    <xf numFmtId="0" fontId="1" fillId="0" borderId="0" xfId="132" applyAlignment="1" applyFont="1" applyProtection="1">
      <alignment horizontal="left" vertical="center" wrapText="1"/>
      <protection hidden="1"/>
    </xf>
    <xf numFmtId="7" fontId="3" fillId="6" borderId="5" xfId="0" applyAlignment="1" applyBorder="1" applyFont="1" applyNumberFormat="1" applyFill="1" applyProtection="1">
      <alignment horizontal="center" vertical="center" wrapText="1"/>
      <protection hidden="1" locked="0"/>
    </xf>
    <xf numFmtId="0" fontId="1" fillId="0" borderId="0" xfId="132" applyAlignment="1" applyFont="1" applyProtection="1">
      <alignment wrapText="1"/>
      <protection locked="0"/>
    </xf>
    <xf numFmtId="0" fontId="1" fillId="0" borderId="0" xfId="132" applyFont="1" applyProtection="1">
      <protection locked="0"/>
    </xf>
    <xf numFmtId="0" fontId="37" fillId="0" borderId="8" xfId="132" applyAlignment="1" applyBorder="1" applyFont="1" applyProtection="1">
      <alignment vertical="center" wrapText="1"/>
      <protection locked="0"/>
    </xf>
    <xf numFmtId="0" fontId="37" fillId="0" borderId="17" xfId="132" applyAlignment="1" applyBorder="1" applyFont="1" applyProtection="1">
      <alignment vertical="center" wrapText="1"/>
      <protection locked="0"/>
    </xf>
    <xf numFmtId="0" fontId="5" fillId="0" borderId="8" xfId="0" applyBorder="1" applyFont="1" applyProtection="1">
      <protection locked="0"/>
    </xf>
    <xf numFmtId="0" fontId="3" fillId="0" borderId="8" xfId="0" applyBorder="1" applyFont="1" applyProtection="1">
      <protection locked="0"/>
    </xf>
    <xf numFmtId="0" fontId="1" fillId="0" borderId="81" xfId="132" applyAlignment="1" applyBorder="1" applyFont="1" applyProtection="1">
      <alignment vertical="center" wrapText="1"/>
      <protection locked="0"/>
    </xf>
    <xf numFmtId="0" fontId="1" fillId="0" borderId="13" xfId="132" applyAlignment="1" applyBorder="1" applyFont="1" applyProtection="1">
      <alignment vertical="center" wrapText="1"/>
      <protection locked="0"/>
    </xf>
    <xf numFmtId="0" fontId="3" fillId="0" borderId="80" xfId="0" applyBorder="1" applyFont="1" applyProtection="1">
      <protection locked="0"/>
    </xf>
    <xf numFmtId="0" fontId="3" fillId="0" borderId="81" xfId="0" applyBorder="1" applyFont="1" applyProtection="1">
      <protection locked="0"/>
    </xf>
    <xf numFmtId="0" fontId="1" fillId="0" borderId="82" xfId="132" applyAlignment="1" applyBorder="1" applyFont="1" applyProtection="1">
      <alignment vertical="center" wrapText="1"/>
      <protection locked="0"/>
    </xf>
    <xf numFmtId="0" fontId="1" fillId="0" borderId="23" xfId="132" applyAlignment="1" applyBorder="1" applyFont="1" applyProtection="1">
      <alignment vertical="top" wrapText="1"/>
      <protection locked="0"/>
    </xf>
    <xf numFmtId="0" fontId="3" fillId="0" borderId="82" xfId="0" applyBorder="1" applyFont="1" applyProtection="1">
      <protection locked="0"/>
    </xf>
    <xf numFmtId="0" fontId="1" fillId="0" borderId="23" xfId="132" applyAlignment="1" applyBorder="1" applyFont="1" applyProtection="1">
      <alignment vertical="center" wrapText="1"/>
      <protection locked="0"/>
    </xf>
    <xf numFmtId="43" fontId="1" fillId="0" borderId="23" xfId="133" applyAlignment="1" applyBorder="1" applyFont="1" applyNumberFormat="1" applyProtection="1">
      <alignment vertical="center" wrapText="1"/>
      <protection locked="0"/>
    </xf>
    <xf numFmtId="43" fontId="3" fillId="6" borderId="5" xfId="0" applyAlignment="1" applyBorder="1" applyFont="1" applyNumberFormat="1" applyFill="1" applyProtection="1">
      <alignment horizontal="center" vertical="center" wrapText="1"/>
      <protection hidden="1"/>
    </xf>
    <xf numFmtId="0" fontId="0" fillId="50" borderId="5" xfId="0" applyAlignment="1" applyBorder="1" applyFill="1">
      <alignment horizontal="center" vertical="center" wrapText="1"/>
    </xf>
    <xf numFmtId="0" fontId="0" fillId="0" borderId="5" xfId="0" applyAlignment="1" applyBorder="1">
      <alignment horizontal="center"/>
    </xf>
    <xf numFmtId="176" fontId="0" fillId="0" borderId="5" xfId="0" applyAlignment="1" applyBorder="1" applyNumberFormat="1">
      <alignment horizontal="center"/>
    </xf>
    <xf numFmtId="0" fontId="5" fillId="39" borderId="7" xfId="0" applyAlignment="1" applyBorder="1" applyFont="1" applyFill="1" applyProtection="1">
      <alignment horizontal="left" vertical="top" wrapText="1"/>
      <protection locked="0"/>
    </xf>
    <xf numFmtId="0" fontId="0" fillId="37" borderId="7" xfId="0" applyAlignment="1" applyBorder="1" applyNumberFormat="1" applyFill="1" applyProtection="1">
      <alignment horizontal="left" vertical="top" wrapText="1"/>
      <protection locked="0"/>
    </xf>
    <xf numFmtId="0" fontId="5" fillId="30" borderId="0" xfId="0" applyAlignment="1" applyBorder="1" applyFont="1" applyFill="1" applyProtection="1">
      <alignment horizontal="left" vertical="top" wrapText="1"/>
      <protection locked="0"/>
    </xf>
    <xf numFmtId="0" fontId="0" fillId="30" borderId="0" xfId="0" applyAlignment="1" applyBorder="1" applyNumberFormat="1" applyFill="1" applyProtection="1">
      <alignment horizontal="left" vertical="top" wrapText="1"/>
      <protection locked="0"/>
    </xf>
    <xf numFmtId="0" fontId="72" fillId="30" borderId="83" xfId="11" applyAlignment="1" applyBorder="1" applyFont="1" applyFill="1" applyProtection="1">
      <alignment horizontal="left" vertical="top" wrapText="1"/>
      <protection locked="0"/>
    </xf>
    <xf numFmtId="0" fontId="72" fillId="30" borderId="84" xfId="11" applyAlignment="1" applyBorder="1" applyFont="1" applyFill="1" applyProtection="1">
      <alignment horizontal="left" vertical="top" wrapText="1"/>
      <protection locked="0"/>
    </xf>
    <xf numFmtId="0" fontId="8" fillId="32" borderId="73" xfId="0" applyAlignment="1" applyBorder="1" applyFont="1" applyFill="1" applyProtection="1">
      <alignment horizontal="left" vertical="top" wrapText="1"/>
      <protection hidden="1"/>
    </xf>
    <xf numFmtId="0" fontId="8" fillId="32" borderId="75" xfId="0" applyAlignment="1" applyBorder="1" applyFont="1" applyFill="1" applyProtection="1">
      <alignment horizontal="left" vertical="top" wrapText="1"/>
      <protection hidden="1"/>
    </xf>
    <xf numFmtId="0" fontId="8" fillId="30" borderId="0" xfId="0" applyAlignment="1" applyBorder="1" applyFont="1" applyFill="1" applyProtection="1">
      <alignment horizontal="left" vertical="top" wrapText="1"/>
      <protection hidden="1"/>
    </xf>
    <xf numFmtId="0" fontId="72" fillId="30" borderId="0" xfId="11" applyAlignment="1" applyBorder="1" applyFont="1" applyFill="1" applyProtection="1">
      <alignment horizontal="left" vertical="top" wrapText="1"/>
      <protection locked="0"/>
    </xf>
    <xf numFmtId="0" fontId="78" fillId="30" borderId="0" xfId="0" applyBorder="1" applyFont="1" applyFill="1" applyProtection="1">
      <protection locked="0"/>
    </xf>
    <xf numFmtId="0" fontId="48" fillId="30" borderId="0" xfId="74" applyBorder="1" applyFont="1" applyFill="1" applyProtection="1">
      <protection locked="0"/>
    </xf>
    <xf numFmtId="0" fontId="7" fillId="0" borderId="5" xfId="0" applyAlignment="1" applyBorder="1" applyFont="1" applyFill="1">
      <alignment horizontal="center" vertical="top"/>
    </xf>
    <xf numFmtId="0" fontId="6" fillId="0" borderId="5" xfId="0" applyAlignment="1" applyBorder="1" applyFont="1" applyNumberFormat="1" applyFill="1" applyProtection="1">
      <alignment horizontal="center" vertical="top"/>
      <protection locked="0"/>
    </xf>
    <xf numFmtId="0" fontId="6" fillId="0" borderId="5" xfId="0" applyAlignment="1" applyBorder="1" applyFont="1" applyNumberFormat="1" applyFill="1" applyProtection="1">
      <alignment horizontal="center" vertical="center"/>
      <protection locked="0"/>
    </xf>
    <xf numFmtId="0" fontId="0" fillId="0" borderId="0" xfId="0" applyFill="1" applyProtection="1">
      <protection locked="0"/>
    </xf>
    <xf numFmtId="0" fontId="7" fillId="0" borderId="6" xfId="0" applyAlignment="1" applyBorder="1" applyFont="1" applyFill="1">
      <alignment horizontal="center" vertical="center" wrapText="1"/>
    </xf>
    <xf numFmtId="8" fontId="6" fillId="0" borderId="5" xfId="0" applyAlignment="1" applyBorder="1" applyFont="1" applyNumberFormat="1" applyFill="1" applyProtection="1">
      <alignment horizontal="center" vertical="center"/>
      <protection locked="0"/>
    </xf>
    <xf numFmtId="0" fontId="13" fillId="40" borderId="4" xfId="0" applyAlignment="1" applyBorder="1" applyFont="1" applyFill="1" applyProtection="1">
      <alignment horizontal="left"/>
      <protection hidden="1"/>
    </xf>
    <xf numFmtId="0" fontId="13" fillId="51" borderId="5" xfId="0" applyAlignment="1" applyBorder="1" applyFont="1" applyFill="1" applyProtection="1">
      <alignment horizontal="left" vertical="top" wrapText="1"/>
      <protection locked="0"/>
    </xf>
    <xf numFmtId="0" fontId="0" fillId="28" borderId="5" xfId="0" applyAlignment="1" applyBorder="1" applyFill="1">
      <alignment horizontal="center" vertical="center"/>
    </xf>
    <xf numFmtId="0" fontId="0" fillId="38" borderId="5" xfId="0" applyAlignment="1" applyBorder="1" applyFill="1">
      <alignment horizontal="center" vertical="center"/>
    </xf>
    <xf numFmtId="0" fontId="0" fillId="52" borderId="5" xfId="0" applyAlignment="1" applyBorder="1" applyFill="1" applyProtection="1">
      <alignment horizontal="center" vertical="center"/>
      <protection locked="0"/>
    </xf>
    <xf numFmtId="0" fontId="0" fillId="53" borderId="5" xfId="0" applyAlignment="1" applyBorder="1" applyFill="1" applyProtection="1">
      <alignment horizontal="center" vertical="center"/>
      <protection locked="0"/>
    </xf>
    <xf numFmtId="0" fontId="13" fillId="50" borderId="5" xfId="0" applyAlignment="1" applyBorder="1" applyFont="1" applyFill="1">
      <alignment horizontal="center" vertical="center" wrapText="1"/>
    </xf>
    <xf numFmtId="0" fontId="13" fillId="30" borderId="85" xfId="0" applyBorder="1" applyFont="1" applyFill="1" applyProtection="1">
      <protection hidden="1"/>
    </xf>
    <xf numFmtId="0" fontId="0" fillId="30" borderId="86" xfId="0" applyBorder="1" applyFill="1" applyProtection="1">
      <protection hidden="1"/>
    </xf>
    <xf numFmtId="0" fontId="17" fillId="39" borderId="8" xfId="0" applyAlignment="1" applyBorder="1" applyFont="1" applyFill="1" applyProtection="1">
      <alignment vertical="center"/>
      <protection hidden="1"/>
    </xf>
    <xf numFmtId="0" fontId="3" fillId="32" borderId="0" xfId="0" applyFont="1" applyFill="1"/>
    <xf numFmtId="0" fontId="48" fillId="32" borderId="0" xfId="132" applyFont="1" applyFill="1"/>
    <xf numFmtId="0" fontId="96" fillId="32" borderId="0" xfId="0" applyFont="1" applyFill="1"/>
    <xf numFmtId="0" fontId="3" fillId="0" borderId="5" xfId="0" applyAlignment="1" applyBorder="1" applyFont="1" applyFill="1" applyProtection="1">
      <alignment vertical="center" wrapText="1"/>
      <protection hidden="1"/>
    </xf>
    <xf numFmtId="0" fontId="3" fillId="32" borderId="5" xfId="0" applyAlignment="1" applyBorder="1" applyFont="1" applyFill="1" applyProtection="1">
      <alignment vertical="center" wrapText="1"/>
      <protection locked="0"/>
    </xf>
    <xf numFmtId="0" fontId="3" fillId="0" borderId="5" xfId="0" applyAlignment="1" applyBorder="1" applyFont="1" applyProtection="1">
      <alignment wrapText="1"/>
      <protection locked="0"/>
    </xf>
    <xf numFmtId="0" fontId="78" fillId="32" borderId="0" xfId="0" applyAlignment="1" applyBorder="1" applyFont="1" applyFill="1">
      <alignment horizontal="left" vertical="top"/>
    </xf>
    <xf numFmtId="0" fontId="78" fillId="32" borderId="0" xfId="0" applyBorder="1" applyFont="1" applyFill="1"/>
    <xf numFmtId="0" fontId="78" fillId="39" borderId="5" xfId="0" applyAlignment="1" applyBorder="1" applyFont="1" applyFill="1">
      <alignment horizontal="center" vertical="top"/>
    </xf>
    <xf numFmtId="0" fontId="17" fillId="39" borderId="5" xfId="0" applyAlignment="1" applyBorder="1" applyFont="1" applyFill="1">
      <alignment horizontal="center" vertical="top"/>
    </xf>
    <xf numFmtId="0" fontId="48" fillId="30" borderId="53" xfId="0" applyAlignment="1" applyBorder="1" applyFont="1" applyFill="1">
      <alignment horizontal="left" vertical="top"/>
    </xf>
    <xf numFmtId="0" fontId="0" fillId="30" borderId="71" xfId="0" applyAlignment="1" applyBorder="1" applyFill="1">
      <alignment horizontal="center" wrapText="1"/>
    </xf>
    <xf numFmtId="0" fontId="108" fillId="30" borderId="53" xfId="0" applyAlignment="1" applyBorder="1" applyFont="1" applyFill="1">
      <alignment horizontal="center" vertical="top"/>
    </xf>
    <xf numFmtId="0" fontId="74" fillId="30" borderId="21" xfId="0" applyAlignment="1" applyBorder="1" applyFont="1" applyFill="1">
      <alignment horizontal="left" vertical="top" wrapText="1"/>
    </xf>
    <xf numFmtId="0" fontId="63" fillId="30" borderId="4" xfId="0" applyAlignment="1" applyBorder="1" applyFont="1" applyFill="1" applyProtection="1">
      <alignment horizontal="center"/>
      <protection hidden="1"/>
    </xf>
    <xf numFmtId="0" fontId="63" fillId="30" borderId="24" xfId="0" applyAlignment="1" applyBorder="1" applyFont="1" applyFill="1" applyProtection="1">
      <alignment horizontal="center"/>
      <protection hidden="1"/>
    </xf>
    <xf numFmtId="0" fontId="13" fillId="30" borderId="27" xfId="0" applyAlignment="1" applyBorder="1" applyFont="1" applyFill="1" applyProtection="1">
      <alignment horizontal="left" vertical="top"/>
    </xf>
    <xf numFmtId="0" fontId="0" fillId="30" borderId="43" xfId="0" applyAlignment="1" applyBorder="1" applyFill="1" applyProtection="1">
      <alignment horizontal="left" vertical="top"/>
    </xf>
    <xf numFmtId="0" fontId="0" fillId="30" borderId="44" xfId="0" applyAlignment="1" applyBorder="1" applyFill="1" applyProtection="1">
      <alignment horizontal="left" vertical="top"/>
    </xf>
    <xf numFmtId="0" fontId="0" fillId="30" borderId="71" xfId="0" applyAlignment="1" applyBorder="1" applyFill="1" applyProtection="1">
      <alignment horizontal="left" vertical="top"/>
    </xf>
    <xf numFmtId="0" fontId="0" fillId="30" borderId="0" xfId="0" applyAlignment="1" applyBorder="1" applyFill="1" applyProtection="1">
      <alignment horizontal="left" vertical="top"/>
    </xf>
    <xf numFmtId="0" fontId="0" fillId="30" borderId="55" xfId="0" applyAlignment="1" applyBorder="1" applyFill="1" applyProtection="1">
      <alignment horizontal="left" vertical="top"/>
    </xf>
    <xf numFmtId="0" fontId="0" fillId="30" borderId="72" xfId="0" applyAlignment="1" applyBorder="1" applyFill="1" applyProtection="1">
      <alignment horizontal="left" vertical="top"/>
    </xf>
    <xf numFmtId="0" fontId="0" fillId="30" borderId="53" xfId="0" applyAlignment="1" applyBorder="1" applyFill="1" applyProtection="1">
      <alignment horizontal="left" vertical="top"/>
    </xf>
    <xf numFmtId="0" fontId="0" fillId="30" borderId="54" xfId="0" applyAlignment="1" applyBorder="1" applyFill="1" applyProtection="1">
      <alignment horizontal="left" vertical="top"/>
    </xf>
    <xf numFmtId="175" fontId="98" fillId="39" borderId="87" xfId="0" applyAlignment="1" applyBorder="1" applyFont="1" applyNumberFormat="1" applyFill="1" applyProtection="1">
      <alignment horizontal="center" vertical="center"/>
      <protection hidden="1"/>
    </xf>
    <xf numFmtId="7" fontId="98" fillId="39" borderId="88" xfId="0" applyAlignment="1" applyBorder="1" applyFont="1" applyNumberFormat="1" applyFill="1" applyProtection="1">
      <alignment horizontal="center" vertical="center"/>
      <protection hidden="1"/>
    </xf>
    <xf numFmtId="169" fontId="82" fillId="30" borderId="71" xfId="5" applyAlignment="1" applyBorder="1" applyFont="1" applyNumberFormat="1" applyFill="1" applyProtection="1">
      <alignment horizontal="left" vertical="top" wrapText="1"/>
      <protection hidden="1"/>
    </xf>
    <xf numFmtId="169" fontId="82" fillId="30" borderId="0" xfId="5" applyAlignment="1" applyBorder="1" applyFont="1" applyNumberFormat="1" applyFill="1" applyProtection="1">
      <alignment horizontal="left" vertical="top" wrapText="1"/>
      <protection hidden="1"/>
    </xf>
    <xf numFmtId="0" fontId="79" fillId="29" borderId="89" xfId="19" applyAlignment="1" applyBorder="1" applyFont="1" applyFill="1" applyProtection="1">
      <alignment horizontal="left" vertical="center" wrapText="1"/>
      <protection locked="0"/>
    </xf>
    <xf numFmtId="0" fontId="79" fillId="29" borderId="0" xfId="19" applyAlignment="1" applyBorder="1" applyFont="1" applyFill="1" applyProtection="1">
      <alignment horizontal="left" vertical="center" wrapText="1"/>
      <protection locked="0"/>
    </xf>
    <xf numFmtId="0" fontId="86" fillId="34" borderId="76" xfId="19" applyAlignment="1" applyBorder="1" applyFont="1" applyFill="1" applyProtection="1">
      <alignment horizontal="center" vertical="top" wrapText="1"/>
      <protection locked="0"/>
    </xf>
    <xf numFmtId="0" fontId="86" fillId="34" borderId="70" xfId="19" applyAlignment="1" applyBorder="1" applyFont="1" applyFill="1" applyProtection="1">
      <alignment horizontal="center" vertical="top" wrapText="1"/>
      <protection locked="0"/>
    </xf>
    <xf numFmtId="0" fontId="79" fillId="29" borderId="90" xfId="19" applyAlignment="1" applyBorder="1" applyFont="1" applyFill="1" applyProtection="1">
      <alignment horizontal="center" vertical="top" wrapText="1"/>
      <protection locked="0"/>
    </xf>
    <xf numFmtId="0" fontId="79" fillId="29" borderId="91" xfId="19" applyAlignment="1" applyBorder="1" applyFont="1" applyFill="1" applyProtection="1">
      <alignment horizontal="center" vertical="top" wrapText="1"/>
      <protection locked="0"/>
    </xf>
    <xf numFmtId="0" fontId="86" fillId="34" borderId="50" xfId="19" applyAlignment="1" applyBorder="1" applyFont="1" applyFill="1" applyProtection="1">
      <alignment horizontal="center" vertical="top" wrapText="1"/>
      <protection locked="0"/>
    </xf>
    <xf numFmtId="0" fontId="86" fillId="34" borderId="57" xfId="19" applyAlignment="1" applyBorder="1" applyFont="1" applyFill="1" applyProtection="1">
      <alignment horizontal="center" vertical="top" wrapText="1"/>
      <protection locked="0"/>
    </xf>
    <xf numFmtId="0" fontId="48" fillId="30" borderId="53" xfId="74" applyAlignment="1" applyBorder="1" applyFont="1" applyFill="1" applyProtection="1">
      <alignment horizontal="center" vertical="top" wrapText="1"/>
      <protection locked="0"/>
    </xf>
    <xf numFmtId="0" fontId="3" fillId="54" borderId="5" xfId="0" applyAlignment="1" applyBorder="1" applyFont="1" applyFill="1" applyProtection="1">
      <alignment horizontal="center" vertical="center"/>
      <protection locked="0"/>
    </xf>
    <xf numFmtId="0" fontId="5" fillId="0" borderId="15" xfId="0" applyAlignment="1" applyBorder="1" applyFont="1" applyProtection="1">
      <alignment horizontal="center"/>
      <protection hidden="1"/>
    </xf>
    <xf numFmtId="0" fontId="5" fillId="0" borderId="17" xfId="0" applyAlignment="1" applyBorder="1" applyFont="1" applyProtection="1">
      <alignment horizontal="center"/>
      <protection hidden="1"/>
    </xf>
    <xf numFmtId="0" fontId="104" fillId="0" borderId="0" xfId="327" applyAlignment="1" applyFont="1" applyProtection="1">
      <alignment horizontal="left" vertical="center"/>
      <protection hidden="1"/>
    </xf>
    <xf numFmtId="0" fontId="107" fillId="0" borderId="0" xfId="12" applyAlignment="1" applyFont="1" applyProtection="1">
      <alignment horizontal="left" vertical="center"/>
      <protection hidden="1"/>
    </xf>
    <xf numFmtId="0" fontId="15" fillId="0" borderId="15" xfId="0" applyAlignment="1" applyBorder="1" applyFont="1" applyProtection="1">
      <alignment horizontal="center" vertical="center" wrapText="1"/>
      <protection hidden="1"/>
    </xf>
    <xf numFmtId="0" fontId="15" fillId="0" borderId="16" xfId="0" applyAlignment="1" applyBorder="1" applyFont="1" applyProtection="1">
      <alignment horizontal="center" vertical="center" wrapText="1"/>
      <protection hidden="1"/>
    </xf>
    <xf numFmtId="0" fontId="15" fillId="0" borderId="17" xfId="0" applyAlignment="1" applyBorder="1" applyFont="1" applyProtection="1">
      <alignment horizontal="center" vertical="center" wrapText="1"/>
      <protection hidden="1"/>
    </xf>
    <xf numFmtId="0" fontId="1" fillId="0" borderId="15" xfId="132" applyAlignment="1" applyBorder="1" applyFont="1" applyProtection="1">
      <alignment vertical="center" wrapText="1"/>
      <protection locked="0"/>
    </xf>
    <xf numFmtId="0" fontId="1" fillId="0" borderId="17" xfId="132" applyAlignment="1" applyBorder="1" applyFont="1" applyProtection="1">
      <alignment vertical="center" wrapText="1"/>
      <protection locked="0"/>
    </xf>
    <xf numFmtId="0" fontId="1" fillId="0" borderId="16" xfId="132" applyAlignment="1" applyBorder="1" applyFont="1" applyProtection="1">
      <alignment vertical="center" wrapText="1"/>
      <protection locked="0"/>
    </xf>
    <xf numFmtId="0" fontId="1" fillId="0" borderId="20" xfId="132" applyAlignment="1" applyBorder="1" applyFont="1" applyProtection="1">
      <alignment vertical="center" wrapText="1"/>
      <protection locked="0"/>
    </xf>
    <xf numFmtId="0" fontId="1" fillId="0" borderId="12" xfId="132" applyAlignment="1" applyBorder="1" applyFont="1" applyProtection="1">
      <alignment vertical="center" wrapText="1"/>
      <protection locked="0"/>
    </xf>
    <xf numFmtId="0" fontId="1" fillId="0" borderId="21" xfId="132" applyAlignment="1" applyBorder="1" applyFont="1" applyProtection="1">
      <alignment vertical="center" wrapText="1"/>
      <protection locked="0"/>
    </xf>
    <xf numFmtId="0" fontId="1" fillId="0" borderId="22" xfId="132" applyAlignment="1" applyBorder="1" applyFont="1" applyProtection="1">
      <alignment vertical="center" wrapText="1"/>
      <protection locked="0"/>
    </xf>
    <xf numFmtId="43" fontId="1" fillId="0" borderId="80" xfId="133" applyAlignment="1" applyBorder="1" applyFont="1" applyNumberFormat="1" applyProtection="1">
      <alignment vertical="center" wrapText="1"/>
      <protection locked="0"/>
    </xf>
    <xf numFmtId="43" fontId="1" fillId="0" borderId="81" xfId="133" applyAlignment="1" applyBorder="1" applyFont="1" applyNumberFormat="1" applyProtection="1">
      <alignment vertical="center" wrapText="1"/>
      <protection locked="0"/>
    </xf>
    <xf numFmtId="43" fontId="1" fillId="0" borderId="82" xfId="133" applyAlignment="1" applyBorder="1" applyFont="1" applyNumberFormat="1" applyProtection="1">
      <alignment vertical="center" wrapText="1"/>
      <protection locked="0"/>
    </xf>
    <xf numFmtId="0" fontId="1" fillId="0" borderId="80" xfId="132" applyAlignment="1" applyBorder="1" applyFont="1" applyProtection="1">
      <alignment vertical="center" wrapText="1"/>
      <protection locked="0"/>
    </xf>
    <xf numFmtId="43" fontId="1" fillId="0" borderId="20" xfId="133" applyAlignment="1" applyBorder="1" applyFont="1" applyNumberFormat="1" applyProtection="1">
      <alignment vertical="center" wrapText="1"/>
      <protection locked="0"/>
    </xf>
    <xf numFmtId="43" fontId="1" fillId="0" borderId="12" xfId="133" applyAlignment="1" applyBorder="1" applyFont="1" applyNumberFormat="1" applyProtection="1">
      <alignment vertical="center" wrapText="1"/>
      <protection locked="0"/>
    </xf>
    <xf numFmtId="43" fontId="1" fillId="0" borderId="21" xfId="133" applyAlignment="1" applyBorder="1" applyFont="1" applyNumberFormat="1" applyProtection="1">
      <alignment vertical="center" wrapText="1"/>
      <protection locked="0"/>
    </xf>
    <xf numFmtId="43" fontId="1" fillId="0" borderId="13" xfId="133" applyAlignment="1" applyBorder="1" applyFont="1" applyNumberFormat="1" applyProtection="1">
      <alignment vertical="center" wrapText="1"/>
      <protection locked="0"/>
    </xf>
    <xf numFmtId="43" fontId="1" fillId="0" borderId="22" xfId="133" applyAlignment="1" applyBorder="1" applyFont="1" applyNumberFormat="1" applyProtection="1">
      <alignment vertical="center" wrapText="1"/>
      <protection locked="0"/>
    </xf>
    <xf numFmtId="0" fontId="5" fillId="0" borderId="15" xfId="0" applyAlignment="1" applyBorder="1" applyFont="1">
      <alignment horizontal="center"/>
    </xf>
    <xf numFmtId="0" fontId="5" fillId="0" borderId="17" xfId="0" applyAlignment="1" applyBorder="1" applyFont="1">
      <alignment horizontal="center"/>
    </xf>
    <xf numFmtId="0" fontId="37" fillId="0" borderId="15" xfId="132" applyAlignment="1" applyBorder="1" applyFont="1" applyProtection="1">
      <alignment vertical="center" wrapText="1"/>
      <protection locked="0"/>
    </xf>
    <xf numFmtId="0" fontId="96" fillId="0" borderId="18" xfId="0" applyAlignment="1" applyBorder="1" applyFont="1" applyProtection="1">
      <alignment horizontal="center" vertical="top" wrapText="1"/>
      <protection hidden="1"/>
    </xf>
    <xf numFmtId="0" fontId="83" fillId="55" borderId="0" xfId="0" applyAlignment="1" applyFont="1" applyFill="1" applyProtection="1">
      <alignment horizontal="center" vertical="center" wrapText="1"/>
      <protection hidden="1"/>
    </xf>
  </cellXfs>
  <cellStyles count="329">
    <cellStyle name="c170a89c3e_5" xfId="131"/>
    <cellStyle name="Comma" xfId="5"/>
    <cellStyle name="Comma [0]" xfId="16"/>
    <cellStyle name="Comma [0] 2" xfId="127"/>
    <cellStyle name="Comma 10" xfId="185"/>
    <cellStyle name="Comma 10 15" xfId="21"/>
    <cellStyle name="Comma 2" xfId="2"/>
    <cellStyle name="Comma 2 2" xfId="76"/>
    <cellStyle name="Comma 3" xfId="8"/>
    <cellStyle name="Comma 3 2" xfId="126"/>
    <cellStyle name="Comma 3 2 2" xfId="238"/>
    <cellStyle name="Comma 3 2 3" xfId="325"/>
    <cellStyle name="Comma 3 3" xfId="81"/>
    <cellStyle name="Comma 3 3 2" xfId="193"/>
    <cellStyle name="Comma 3 3 3" xfId="280"/>
    <cellStyle name="Comma 3 4" xfId="138"/>
    <cellStyle name="Comma 3 5" xfId="183"/>
    <cellStyle name="Comma 4" xfId="6"/>
    <cellStyle name="Comma 5" xfId="23"/>
    <cellStyle name="Comma 6" xfId="29"/>
    <cellStyle name="Comma 6 2" xfId="84"/>
    <cellStyle name="Comma 6 2 2" xfId="196"/>
    <cellStyle name="Comma 6 2 3" xfId="283"/>
    <cellStyle name="Comma 6 3" xfId="146"/>
    <cellStyle name="Comma 6 4" xfId="189"/>
    <cellStyle name="Comma 7" xfId="133"/>
    <cellStyle name="Comma 8" xfId="136"/>
    <cellStyle name="Comma 9" xfId="186"/>
    <cellStyle name="Currency" xfId="17"/>
    <cellStyle name="Currency [0]" xfId="18"/>
    <cellStyle name="Currency [0] 2" xfId="129"/>
    <cellStyle name="Currency 2" xfId="9"/>
    <cellStyle name="Currency 2 2" xfId="30"/>
    <cellStyle name="Currency 2 2 2" xfId="85"/>
    <cellStyle name="Currency 2 2 2 2" xfId="197"/>
    <cellStyle name="Currency 2 2 2 3" xfId="284"/>
    <cellStyle name="Currency 2 2 3" xfId="147"/>
    <cellStyle name="Currency 2 2 4" xfId="135"/>
    <cellStyle name="Currency 3" xfId="31"/>
    <cellStyle name="Currency 4" xfId="128"/>
    <cellStyle name="Currency 5" xfId="142"/>
    <cellStyle name="Currency 6" xfId="134"/>
    <cellStyle name="Currency 7" xfId="139"/>
    <cellStyle name="Currency 8" xfId="328"/>
    <cellStyle name="Explanatory Text 2" xfId="24"/>
    <cellStyle name="Hyperlink" xfId="11" builtinId="8"/>
    <cellStyle name="Hyperlink 2" xfId="12"/>
    <cellStyle name="Hyperlink 2 2" xfId="77"/>
    <cellStyle name="Hyperlink 3" xfId="25"/>
    <cellStyle name="Normal" xfId="0" builtinId="0"/>
    <cellStyle name="Normal 10" xfId="20"/>
    <cellStyle name="Normal 10 12" xfId="22"/>
    <cellStyle name="Normal 10 2" xfId="80"/>
    <cellStyle name="Normal 10 2 2" xfId="192"/>
    <cellStyle name="Normal 10 2 3" xfId="279"/>
    <cellStyle name="Normal 10 3" xfId="143"/>
    <cellStyle name="Normal 10 4" xfId="140"/>
    <cellStyle name="Normal 11" xfId="327"/>
    <cellStyle name="Normal 2" xfId="1"/>
    <cellStyle name="Normal 2 10" xfId="32"/>
    <cellStyle name="Normal 2 10 2" xfId="86"/>
    <cellStyle name="Normal 2 10 2 2" xfId="198"/>
    <cellStyle name="Normal 2 10 2 3" xfId="285"/>
    <cellStyle name="Normal 2 10 3" xfId="148"/>
    <cellStyle name="Normal 2 10 4" xfId="239"/>
    <cellStyle name="Normal 2 11" xfId="33"/>
    <cellStyle name="Normal 2 11 2" xfId="87"/>
    <cellStyle name="Normal 2 11 2 2" xfId="199"/>
    <cellStyle name="Normal 2 11 2 3" xfId="286"/>
    <cellStyle name="Normal 2 11 3" xfId="149"/>
    <cellStyle name="Normal 2 11 4" xfId="141"/>
    <cellStyle name="Normal 2 12" xfId="34"/>
    <cellStyle name="Normal 2 12 2" xfId="88"/>
    <cellStyle name="Normal 2 12 2 2" xfId="200"/>
    <cellStyle name="Normal 2 12 2 3" xfId="287"/>
    <cellStyle name="Normal 2 12 3" xfId="150"/>
    <cellStyle name="Normal 2 12 4" xfId="241"/>
    <cellStyle name="Normal 2 2" xfId="10"/>
    <cellStyle name="Normal 2 2 2" xfId="13"/>
    <cellStyle name="Normal 2 3" xfId="14"/>
    <cellStyle name="Normal 2 3 10" xfId="35"/>
    <cellStyle name="Normal 2 3 10 2" xfId="89"/>
    <cellStyle name="Normal 2 3 10 2 2" xfId="201"/>
    <cellStyle name="Normal 2 3 10 2 3" xfId="288"/>
    <cellStyle name="Normal 2 3 10 3" xfId="151"/>
    <cellStyle name="Normal 2 3 10 4" xfId="242"/>
    <cellStyle name="Normal 2 3 2" xfId="36"/>
    <cellStyle name="Normal 2 3 2 2" xfId="37"/>
    <cellStyle name="Normal 2 3 2 2 2" xfId="91"/>
    <cellStyle name="Normal 2 3 2 2 2 2" xfId="203"/>
    <cellStyle name="Normal 2 3 2 2 2 3" xfId="290"/>
    <cellStyle name="Normal 2 3 2 2 3" xfId="153"/>
    <cellStyle name="Normal 2 3 2 2 4" xfId="244"/>
    <cellStyle name="Normal 2 3 2 3" xfId="90"/>
    <cellStyle name="Normal 2 3 2 3 2" xfId="202"/>
    <cellStyle name="Normal 2 3 2 3 3" xfId="289"/>
    <cellStyle name="Normal 2 3 2 4" xfId="152"/>
    <cellStyle name="Normal 2 3 2 5" xfId="243"/>
    <cellStyle name="Normal 2 3 3" xfId="38"/>
    <cellStyle name="Normal 2 3 3 2" xfId="39"/>
    <cellStyle name="Normal 2 3 3 2 2" xfId="93"/>
    <cellStyle name="Normal 2 3 3 2 2 2" xfId="205"/>
    <cellStyle name="Normal 2 3 3 2 2 3" xfId="292"/>
    <cellStyle name="Normal 2 3 3 2 3" xfId="155"/>
    <cellStyle name="Normal 2 3 3 2 4" xfId="246"/>
    <cellStyle name="Normal 2 3 3 3" xfId="92"/>
    <cellStyle name="Normal 2 3 3 3 2" xfId="204"/>
    <cellStyle name="Normal 2 3 3 3 3" xfId="291"/>
    <cellStyle name="Normal 2 3 3 4" xfId="154"/>
    <cellStyle name="Normal 2 3 3 5" xfId="245"/>
    <cellStyle name="Normal 2 3 4" xfId="40"/>
    <cellStyle name="Normal 2 3 4 2" xfId="41"/>
    <cellStyle name="Normal 2 3 4 2 2" xfId="95"/>
    <cellStyle name="Normal 2 3 4 2 2 2" xfId="207"/>
    <cellStyle name="Normal 2 3 4 2 2 3" xfId="294"/>
    <cellStyle name="Normal 2 3 4 2 3" xfId="157"/>
    <cellStyle name="Normal 2 3 4 2 4" xfId="248"/>
    <cellStyle name="Normal 2 3 4 3" xfId="94"/>
    <cellStyle name="Normal 2 3 4 3 2" xfId="206"/>
    <cellStyle name="Normal 2 3 4 3 3" xfId="293"/>
    <cellStyle name="Normal 2 3 4 4" xfId="156"/>
    <cellStyle name="Normal 2 3 4 5" xfId="247"/>
    <cellStyle name="Normal 2 3 5" xfId="42"/>
    <cellStyle name="Normal 2 3 5 2" xfId="43"/>
    <cellStyle name="Normal 2 3 5 2 2" xfId="97"/>
    <cellStyle name="Normal 2 3 5 2 2 2" xfId="209"/>
    <cellStyle name="Normal 2 3 5 2 2 3" xfId="296"/>
    <cellStyle name="Normal 2 3 5 2 3" xfId="159"/>
    <cellStyle name="Normal 2 3 5 2 4" xfId="250"/>
    <cellStyle name="Normal 2 3 5 3" xfId="96"/>
    <cellStyle name="Normal 2 3 5 3 2" xfId="208"/>
    <cellStyle name="Normal 2 3 5 3 3" xfId="295"/>
    <cellStyle name="Normal 2 3 5 4" xfId="158"/>
    <cellStyle name="Normal 2 3 5 5" xfId="249"/>
    <cellStyle name="Normal 2 3 6" xfId="44"/>
    <cellStyle name="Normal 2 3 6 2" xfId="45"/>
    <cellStyle name="Normal 2 3 6 2 2" xfId="99"/>
    <cellStyle name="Normal 2 3 6 2 2 2" xfId="211"/>
    <cellStyle name="Normal 2 3 6 2 2 3" xfId="298"/>
    <cellStyle name="Normal 2 3 6 2 3" xfId="161"/>
    <cellStyle name="Normal 2 3 6 2 4" xfId="252"/>
    <cellStyle name="Normal 2 3 6 3" xfId="98"/>
    <cellStyle name="Normal 2 3 6 3 2" xfId="210"/>
    <cellStyle name="Normal 2 3 6 3 3" xfId="297"/>
    <cellStyle name="Normal 2 3 6 4" xfId="160"/>
    <cellStyle name="Normal 2 3 6 5" xfId="251"/>
    <cellStyle name="Normal 2 3 7" xfId="46"/>
    <cellStyle name="Normal 2 3 7 2" xfId="47"/>
    <cellStyle name="Normal 2 3 7 2 2" xfId="101"/>
    <cellStyle name="Normal 2 3 7 2 2 2" xfId="213"/>
    <cellStyle name="Normal 2 3 7 2 2 3" xfId="300"/>
    <cellStyle name="Normal 2 3 7 2 3" xfId="163"/>
    <cellStyle name="Normal 2 3 7 2 4" xfId="254"/>
    <cellStyle name="Normal 2 3 7 3" xfId="100"/>
    <cellStyle name="Normal 2 3 7 3 2" xfId="212"/>
    <cellStyle name="Normal 2 3 7 3 3" xfId="299"/>
    <cellStyle name="Normal 2 3 7 4" xfId="162"/>
    <cellStyle name="Normal 2 3 7 5" xfId="253"/>
    <cellStyle name="Normal 2 3 8" xfId="48"/>
    <cellStyle name="Normal 2 3 8 2" xfId="102"/>
    <cellStyle name="Normal 2 3 8 2 2" xfId="214"/>
    <cellStyle name="Normal 2 3 8 2 3" xfId="301"/>
    <cellStyle name="Normal 2 3 8 3" xfId="164"/>
    <cellStyle name="Normal 2 3 8 4" xfId="255"/>
    <cellStyle name="Normal 2 3 9" xfId="49"/>
    <cellStyle name="Normal 2 3 9 2" xfId="103"/>
    <cellStyle name="Normal 2 3 9 2 2" xfId="215"/>
    <cellStyle name="Normal 2 3 9 2 3" xfId="302"/>
    <cellStyle name="Normal 2 3 9 3" xfId="165"/>
    <cellStyle name="Normal 2 3 9 4" xfId="256"/>
    <cellStyle name="Normal 2 4" xfId="50"/>
    <cellStyle name="Normal 2 4 2" xfId="51"/>
    <cellStyle name="Normal 2 4 2 2" xfId="52"/>
    <cellStyle name="Normal 2 4 2 2 2" xfId="106"/>
    <cellStyle name="Normal 2 4 2 2 2 2" xfId="218"/>
    <cellStyle name="Normal 2 4 2 2 2 3" xfId="305"/>
    <cellStyle name="Normal 2 4 2 2 3" xfId="168"/>
    <cellStyle name="Normal 2 4 2 2 4" xfId="259"/>
    <cellStyle name="Normal 2 4 2 3" xfId="105"/>
    <cellStyle name="Normal 2 4 2 3 2" xfId="217"/>
    <cellStyle name="Normal 2 4 2 3 3" xfId="304"/>
    <cellStyle name="Normal 2 4 2 4" xfId="167"/>
    <cellStyle name="Normal 2 4 2 5" xfId="258"/>
    <cellStyle name="Normal 2 4 3" xfId="53"/>
    <cellStyle name="Normal 2 4 3 2" xfId="107"/>
    <cellStyle name="Normal 2 4 3 2 2" xfId="219"/>
    <cellStyle name="Normal 2 4 3 2 3" xfId="306"/>
    <cellStyle name="Normal 2 4 3 3" xfId="169"/>
    <cellStyle name="Normal 2 4 3 4" xfId="260"/>
    <cellStyle name="Normal 2 4 4" xfId="54"/>
    <cellStyle name="Normal 2 4 4 2" xfId="108"/>
    <cellStyle name="Normal 2 4 4 2 2" xfId="220"/>
    <cellStyle name="Normal 2 4 4 2 3" xfId="307"/>
    <cellStyle name="Normal 2 4 4 3" xfId="170"/>
    <cellStyle name="Normal 2 4 4 4" xfId="261"/>
    <cellStyle name="Normal 2 4 5" xfId="55"/>
    <cellStyle name="Normal 2 4 6" xfId="104"/>
    <cellStyle name="Normal 2 4 6 2" xfId="216"/>
    <cellStyle name="Normal 2 4 6 3" xfId="303"/>
    <cellStyle name="Normal 2 4 7" xfId="166"/>
    <cellStyle name="Normal 2 4 8" xfId="257"/>
    <cellStyle name="Normal 2 5" xfId="56"/>
    <cellStyle name="Normal 2 5 2" xfId="57"/>
    <cellStyle name="Normal 2 5 2 2" xfId="58"/>
    <cellStyle name="Normal 2 5 2 2 2" xfId="111"/>
    <cellStyle name="Normal 2 5 2 2 2 2" xfId="223"/>
    <cellStyle name="Normal 2 5 2 2 2 3" xfId="310"/>
    <cellStyle name="Normal 2 5 2 2 3" xfId="173"/>
    <cellStyle name="Normal 2 5 2 2 4" xfId="264"/>
    <cellStyle name="Normal 2 5 2 3" xfId="110"/>
    <cellStyle name="Normal 2 5 2 3 2" xfId="222"/>
    <cellStyle name="Normal 2 5 2 3 3" xfId="309"/>
    <cellStyle name="Normal 2 5 2 4" xfId="172"/>
    <cellStyle name="Normal 2 5 2 5" xfId="263"/>
    <cellStyle name="Normal 2 5 3" xfId="59"/>
    <cellStyle name="Normal 2 5 3 2" xfId="112"/>
    <cellStyle name="Normal 2 5 3 2 2" xfId="224"/>
    <cellStyle name="Normal 2 5 3 2 3" xfId="311"/>
    <cellStyle name="Normal 2 5 3 3" xfId="174"/>
    <cellStyle name="Normal 2 5 3 4" xfId="265"/>
    <cellStyle name="Normal 2 5 4" xfId="109"/>
    <cellStyle name="Normal 2 5 4 2" xfId="221"/>
    <cellStyle name="Normal 2 5 4 3" xfId="308"/>
    <cellStyle name="Normal 2 5 5" xfId="171"/>
    <cellStyle name="Normal 2 5 6" xfId="262"/>
    <cellStyle name="Normal 2 6" xfId="60"/>
    <cellStyle name="Normal 2 6 2" xfId="61"/>
    <cellStyle name="Normal 2 6 2 2" xfId="114"/>
    <cellStyle name="Normal 2 6 2 2 2" xfId="226"/>
    <cellStyle name="Normal 2 6 2 2 3" xfId="313"/>
    <cellStyle name="Normal 2 6 2 3" xfId="176"/>
    <cellStyle name="Normal 2 6 2 4" xfId="267"/>
    <cellStyle name="Normal 2 6 3" xfId="113"/>
    <cellStyle name="Normal 2 6 3 2" xfId="225"/>
    <cellStyle name="Normal 2 6 3 3" xfId="312"/>
    <cellStyle name="Normal 2 6 4" xfId="175"/>
    <cellStyle name="Normal 2 6 5" xfId="266"/>
    <cellStyle name="Normal 2 7" xfId="62"/>
    <cellStyle name="Normal 2 7 2" xfId="63"/>
    <cellStyle name="Normal 2 7 2 2" xfId="116"/>
    <cellStyle name="Normal 2 7 2 2 2" xfId="228"/>
    <cellStyle name="Normal 2 7 2 2 3" xfId="315"/>
    <cellStyle name="Normal 2 7 2 3" xfId="178"/>
    <cellStyle name="Normal 2 7 2 4" xfId="269"/>
    <cellStyle name="Normal 2 7 3" xfId="115"/>
    <cellStyle name="Normal 2 7 3 2" xfId="227"/>
    <cellStyle name="Normal 2 7 3 3" xfId="314"/>
    <cellStyle name="Normal 2 7 4" xfId="177"/>
    <cellStyle name="Normal 2 7 5" xfId="268"/>
    <cellStyle name="Normal 2 8" xfId="64"/>
    <cellStyle name="Normal 2 8 2" xfId="65"/>
    <cellStyle name="Normal 2 8 2 2" xfId="118"/>
    <cellStyle name="Normal 2 8 2 2 2" xfId="230"/>
    <cellStyle name="Normal 2 8 2 2 3" xfId="317"/>
    <cellStyle name="Normal 2 8 2 3" xfId="180"/>
    <cellStyle name="Normal 2 8 2 4" xfId="271"/>
    <cellStyle name="Normal 2 8 3" xfId="117"/>
    <cellStyle name="Normal 2 8 3 2" xfId="229"/>
    <cellStyle name="Normal 2 8 3 3" xfId="316"/>
    <cellStyle name="Normal 2 8 4" xfId="179"/>
    <cellStyle name="Normal 2 8 5" xfId="270"/>
    <cellStyle name="Normal 2 9" xfId="66"/>
    <cellStyle name="Normal 2 9 2" xfId="67"/>
    <cellStyle name="Normal 2 9 2 2" xfId="120"/>
    <cellStyle name="Normal 2 9 2 2 2" xfId="232"/>
    <cellStyle name="Normal 2 9 2 2 3" xfId="319"/>
    <cellStyle name="Normal 2 9 2 3" xfId="182"/>
    <cellStyle name="Normal 2 9 2 4" xfId="273"/>
    <cellStyle name="Normal 2 9 3" xfId="119"/>
    <cellStyle name="Normal 2 9 3 2" xfId="231"/>
    <cellStyle name="Normal 2 9 3 3" xfId="318"/>
    <cellStyle name="Normal 2 9 4" xfId="181"/>
    <cellStyle name="Normal 2 9 5" xfId="272"/>
    <cellStyle name="Normal 23" xfId="26"/>
    <cellStyle name="Normal 23 2" xfId="82"/>
    <cellStyle name="Normal 23 2 2" xfId="194"/>
    <cellStyle name="Normal 23 2 3" xfId="281"/>
    <cellStyle name="Normal 23 3" xfId="144"/>
    <cellStyle name="Normal 23 4" xfId="240"/>
    <cellStyle name="Normal 3" xfId="4"/>
    <cellStyle name="Normal 3 2" xfId="15"/>
    <cellStyle name="Normal 3 2 2" xfId="68"/>
    <cellStyle name="Normal 3 2 3" xfId="69"/>
    <cellStyle name="Normal 3 2 3 2" xfId="121"/>
    <cellStyle name="Normal 3 2 3 2 2" xfId="233"/>
    <cellStyle name="Normal 3 2 3 2 3" xfId="320"/>
    <cellStyle name="Normal 3 2 3 3" xfId="184"/>
    <cellStyle name="Normal 3 2 3 4" xfId="274"/>
    <cellStyle name="Normal 4" xfId="27"/>
    <cellStyle name="Normal 4 2" xfId="70"/>
    <cellStyle name="Normal 5" xfId="28"/>
    <cellStyle name="Normal 5 2" xfId="83"/>
    <cellStyle name="Normal 5 2 2" xfId="195"/>
    <cellStyle name="Normal 5 2 3" xfId="282"/>
    <cellStyle name="Normal 5 3" xfId="145"/>
    <cellStyle name="Normal 5 4" xfId="137"/>
    <cellStyle name="Normal 6" xfId="74"/>
    <cellStyle name="Normal 6 2" xfId="122"/>
    <cellStyle name="Normal 6 2 2" xfId="234"/>
    <cellStyle name="Normal 6 2 3" xfId="321"/>
    <cellStyle name="Normal 6 3" xfId="187"/>
    <cellStyle name="Normal 6 4" xfId="275"/>
    <cellStyle name="Normal 7" xfId="71"/>
    <cellStyle name="Normal 8" xfId="78"/>
    <cellStyle name="Normal 8 2" xfId="124"/>
    <cellStyle name="Normal 8 2 2" xfId="236"/>
    <cellStyle name="Normal 8 2 3" xfId="323"/>
    <cellStyle name="Normal 8 3" xfId="190"/>
    <cellStyle name="Normal 8 4" xfId="277"/>
    <cellStyle name="Normal 9" xfId="132"/>
    <cellStyle name="Note 2" xfId="75"/>
    <cellStyle name="Note 2 2" xfId="123"/>
    <cellStyle name="Note 2 2 2" xfId="235"/>
    <cellStyle name="Note 2 2 3" xfId="322"/>
    <cellStyle name="Note 2 3" xfId="188"/>
    <cellStyle name="Note 2 4" xfId="276"/>
    <cellStyle name="Note 3" xfId="79"/>
    <cellStyle name="Note 3 2" xfId="125"/>
    <cellStyle name="Note 3 2 2" xfId="237"/>
    <cellStyle name="Note 3 2 3" xfId="324"/>
    <cellStyle name="Note 3 3" xfId="191"/>
    <cellStyle name="Note 3 4" xfId="278"/>
    <cellStyle name="OBI_ColHeader" xfId="130"/>
    <cellStyle name="Output" xfId="19" builtinId="21"/>
    <cellStyle name="Percent 2" xfId="3"/>
    <cellStyle name="Percent 3" xfId="7"/>
    <cellStyle name="Percent 3 2" xfId="326"/>
    <cellStyle name="Percent 4" xfId="72"/>
    <cellStyle name="Percent 5" xfId="73"/>
  </cellStyles>
  <dxfs>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1" defaultTableStyle="TableStyleMedium2" defaultPivotStyle="PivotStyleLight16">
    <tableStyle name="Table Style 1" pivot="0" count="0"/>
  </tableStyles>
</styleSheet>
</file>

<file path=xl/_rels/workbook.xml.rels><?xml version="1.0" encoding="utf-8" standalone="yes"?><Relationships xmlns="http://schemas.openxmlformats.org/package/2006/relationships"><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externalLink" Target="/xl/externalLinks/externalLink2.xml" /><Relationship Id="rId2" Type="http://schemas.openxmlformats.org/officeDocument/2006/relationships/worksheet" Target="worksheets/sheet2.xml" /><Relationship Id="rId20" Type="http://schemas.openxmlformats.org/officeDocument/2006/relationships/worksheet" Target="worksheets/sheet20.xml" /><Relationship Id="rId34" Type="http://schemas.openxmlformats.org/officeDocument/2006/relationships/styles" Target="styles.xml" /><Relationship Id="rId6" Type="http://schemas.openxmlformats.org/officeDocument/2006/relationships/worksheet" Target="worksheets/sheet6.xml" /><Relationship Id="rId11" Type="http://schemas.openxmlformats.org/officeDocument/2006/relationships/worksheet" Target="worksheets/sheet11.xml" /><Relationship Id="rId16" Type="http://schemas.openxmlformats.org/officeDocument/2006/relationships/worksheet" Target="worksheets/sheet16.xml" /><Relationship Id="rId24" Type="http://schemas.openxmlformats.org/officeDocument/2006/relationships/externalLink" Target="/xl/externalLinks/externalLink1.xml" /><Relationship Id="rId33" Type="http://schemas.openxmlformats.org/officeDocument/2006/relationships/theme" Target="theme/theme1.xml" /><Relationship Id="rId1" Type="http://schemas.openxmlformats.org/officeDocument/2006/relationships/worksheet" Target="worksheets/sheet1.xml" /><Relationship Id="rId15" Type="http://schemas.openxmlformats.org/officeDocument/2006/relationships/worksheet" Target="worksheets/sheet15.xml" /><Relationship Id="rId19" Type="http://schemas.openxmlformats.org/officeDocument/2006/relationships/worksheet" Target="worksheets/sheet19.xml" /><Relationship Id="rId28" Type="http://schemas.openxmlformats.org/officeDocument/2006/relationships/externalLink" Target="/xl/externalLinks/externalLink5.xml" /><Relationship Id="rId5" Type="http://schemas.openxmlformats.org/officeDocument/2006/relationships/worksheet" Target="worksheets/sheet5.xml" /><Relationship Id="rId10" Type="http://schemas.openxmlformats.org/officeDocument/2006/relationships/worksheet" Target="worksheets/sheet10.xml" /><Relationship Id="rId23" Type="http://schemas.openxmlformats.org/officeDocument/2006/relationships/worksheet" Target="worksheets/sheet23.xml" /><Relationship Id="rId31" Type="http://schemas.openxmlformats.org/officeDocument/2006/relationships/externalLink" Target="/xl/externalLinks/externalLink8.xml" /><Relationship Id="rId4" Type="http://schemas.openxmlformats.org/officeDocument/2006/relationships/worksheet" Target="worksheets/sheet4.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externalLink" Target="/xl/externalLinks/externalLink4.xml" /><Relationship Id="rId32" Type="http://schemas.openxmlformats.org/officeDocument/2006/relationships/externalLink" Target="/xl/externalLinks/externalLink9.xml" /><Relationship Id="rId9" Type="http://schemas.openxmlformats.org/officeDocument/2006/relationships/worksheet" Target="worksheets/sheet9.xml" /><Relationship Id="rId18" Type="http://schemas.openxmlformats.org/officeDocument/2006/relationships/worksheet" Target="worksheets/sheet18.xml" /><Relationship Id="rId30" Type="http://schemas.openxmlformats.org/officeDocument/2006/relationships/externalLink" Target="/xl/externalLinks/externalLink7.xml" /><Relationship Id="rId3" Type="http://schemas.openxmlformats.org/officeDocument/2006/relationships/worksheet" Target="worksheets/sheet3.xml" /><Relationship Id="rId8" Type="http://schemas.openxmlformats.org/officeDocument/2006/relationships/worksheet" Target="worksheets/sheet8.xml" /><Relationship Id="rId13" Type="http://schemas.openxmlformats.org/officeDocument/2006/relationships/worksheet" Target="worksheets/sheet13.xml" /><Relationship Id="rId21" Type="http://schemas.openxmlformats.org/officeDocument/2006/relationships/worksheet" Target="worksheets/sheet21.xml" /><Relationship Id="rId26" Type="http://schemas.openxmlformats.org/officeDocument/2006/relationships/externalLink" Target="/xl/externalLinks/externalLink3.xml" /><Relationship Id="rId29" Type="http://schemas.openxmlformats.org/officeDocument/2006/relationships/externalLink" Target="/xl/externalLinks/externalLink6.xml" /><Relationship Id="rId35" Type="http://schemas.openxmlformats.org/officeDocument/2006/relationships/sharedStrings" Target="sharedStrings.xml" /><Relationship Id="rId7" Type="http://schemas.openxmlformats.org/officeDocument/2006/relationships/worksheet" Target="worksheets/sheet7.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37951</xdr:colOff>
      <xdr:row>59</xdr:row>
      <xdr:rowOff>95250</xdr:rowOff>
    </xdr:from>
    <xdr:to>
      <xdr:col>6</xdr:col>
      <xdr:colOff>361355</xdr:colOff>
      <xdr:row>70</xdr:row>
      <xdr:rowOff>57150</xdr:rowOff>
    </xdr:to>
    <xdr:pic macro="">
      <xdr:nvPicPr>
        <xdr:cNvPr id="2" name="Picture 1">
          <a:extLst xmlns:a="http://schemas.openxmlformats.org/drawingml/2006/main">
            <a:ext uri="{FF2B5EF4-FFF2-40B4-BE49-F238E27FC236}">
              <a16:creationId xmlns:a16="http://schemas.microsoft.com/office/drawing/2014/main" id="{00000000-0008-0000-1400-000002000000}"/>
            </a:ext>
          </a:extLst>
        </xdr:cNvPr>
        <xdr:cNvPicPr>
          <a:picLocks noChangeAspect="1"/>
        </xdr:cNvPicPr>
      </xdr:nvPicPr>
      <xdr:blipFill>
        <a:blip xmlns:d5p1="http://schemas.openxmlformats.org/officeDocument/2006/relationships" d5p1:embed="rId1">
          <a:extLst/>
        </a:blip>
        <a:srcRect xmlns:a="http://schemas.openxmlformats.org/drawingml/2006/main"/>
        <a:stretch>
          <a:fillRect/>
        </a:stretch>
      </xdr:blipFill>
      <xdr:spPr>
        <a:xfrm>
          <a:off x="38100" y="9705975"/>
          <a:ext cx="5200000" cy="5200000"/>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xdr:colOff>
          <xdr:row>11</xdr:row>
          <xdr:rowOff>145732</xdr:rowOff>
        </xdr:from>
        <xdr:to>
          <xdr:col>1</xdr:col>
          <xdr:colOff>342900</xdr:colOff>
          <xdr:row>13</xdr:row>
          <xdr:rowOff>19050</xdr:rowOff>
        </xdr:to>
        <xdr:sp xmlns:xdr="http://schemas.openxmlformats.org/drawingml/2006/spreadsheetDrawing" macro="" textlink="">
          <xdr:nvSpPr>
            <xdr:cNvPr id="8193" name="Check Box 1" hidden="1">
              <a:extLst xmlns:a="http://schemas.openxmlformats.org/drawingml/2006/main">
                <a:ext uri="{63B3BB69-23CF-44E3-9099-C40C66FF867C}">
                  <a14:compatExt xmlns:a14="http://schemas.microsoft.com/office/drawing/2010/main" spid="_x0000_s8193"/>
                </a:ext>
                <a:ext uri="{FF2B5EF4-FFF2-40B4-BE49-F238E27FC236}">
                  <a16:creationId xmlns:a16="http://schemas.microsoft.com/office/drawing/2014/main" id="{00000000-0008-0000-1500-000001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mc:AlternateContent xmlns:mc="http://schemas.openxmlformats.org/markup-compatibility/2006">
    <mc:Choice xmlns:a14="http://schemas.microsoft.com/office/drawing/2010/main" Requires="a14">
      <xdr:twoCellAnchor>
        <xdr:from>
          <xdr:col>1</xdr:col>
          <xdr:colOff>38100</xdr:colOff>
          <xdr:row>13</xdr:row>
          <xdr:rowOff>145732</xdr:rowOff>
        </xdr:from>
        <xdr:to>
          <xdr:col>1</xdr:col>
          <xdr:colOff>342900</xdr:colOff>
          <xdr:row>15</xdr:row>
          <xdr:rowOff>19050</xdr:rowOff>
        </xdr:to>
        <xdr:sp xmlns:xdr="http://schemas.openxmlformats.org/drawingml/2006/spreadsheetDrawing" macro="" textlink="">
          <xdr:nvSpPr>
            <xdr:cNvPr id="8194" name="Check Box 2" hidden="1">
              <a:extLst xmlns:a="http://schemas.openxmlformats.org/drawingml/2006/main">
                <a:ext uri="{63B3BB69-23CF-44E3-9099-C40C66FF867C}">
                  <a14:compatExt xmlns:a14="http://schemas.microsoft.com/office/drawing/2010/main" spid="_x0000_s8194"/>
                </a:ext>
                <a:ext uri="{FF2B5EF4-FFF2-40B4-BE49-F238E27FC236}">
                  <a16:creationId xmlns:a16="http://schemas.microsoft.com/office/drawing/2014/main" id="{00000000-0008-0000-1500-000002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mc:AlternateContent xmlns:mc="http://schemas.openxmlformats.org/markup-compatibility/2006">
    <mc:Choice xmlns:a14="http://schemas.microsoft.com/office/drawing/2010/main" Requires="a14">
      <xdr:twoCellAnchor>
        <xdr:from>
          <xdr:col>1</xdr:col>
          <xdr:colOff>38100</xdr:colOff>
          <xdr:row>15</xdr:row>
          <xdr:rowOff>145732</xdr:rowOff>
        </xdr:from>
        <xdr:to>
          <xdr:col>1</xdr:col>
          <xdr:colOff>342900</xdr:colOff>
          <xdr:row>17</xdr:row>
          <xdr:rowOff>19050</xdr:rowOff>
        </xdr:to>
        <xdr:sp xmlns:xdr="http://schemas.openxmlformats.org/drawingml/2006/spreadsheetDrawing" macro="" textlink="">
          <xdr:nvSpPr>
            <xdr:cNvPr id="8195" name="Check Box 3" hidden="1">
              <a:extLst xmlns:a="http://schemas.openxmlformats.org/drawingml/2006/main">
                <a:ext uri="{63B3BB69-23CF-44E3-9099-C40C66FF867C}">
                  <a14:compatExt xmlns:a14="http://schemas.microsoft.com/office/drawing/2010/main" spid="_x0000_s8195"/>
                </a:ext>
                <a:ext uri="{FF2B5EF4-FFF2-40B4-BE49-F238E27FC236}">
                  <a16:creationId xmlns:a16="http://schemas.microsoft.com/office/drawing/2014/main" id="{00000000-0008-0000-1500-000003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mc:AlternateContent xmlns:mc="http://schemas.openxmlformats.org/markup-compatibility/2006">
    <mc:Choice xmlns:a14="http://schemas.microsoft.com/office/drawing/2010/main" Requires="a14">
      <xdr:twoCellAnchor>
        <xdr:from>
          <xdr:col>1</xdr:col>
          <xdr:colOff>38100</xdr:colOff>
          <xdr:row>17</xdr:row>
          <xdr:rowOff>145732</xdr:rowOff>
        </xdr:from>
        <xdr:to>
          <xdr:col>1</xdr:col>
          <xdr:colOff>342900</xdr:colOff>
          <xdr:row>19</xdr:row>
          <xdr:rowOff>19050</xdr:rowOff>
        </xdr:to>
        <xdr:sp xmlns:xdr="http://schemas.openxmlformats.org/drawingml/2006/spreadsheetDrawing" macro="" textlink="">
          <xdr:nvSpPr>
            <xdr:cNvPr id="8196" name="Check Box 4" hidden="1">
              <a:extLst xmlns:a="http://schemas.openxmlformats.org/drawingml/2006/main">
                <a:ext uri="{63B3BB69-23CF-44E3-9099-C40C66FF867C}">
                  <a14:compatExt xmlns:a14="http://schemas.microsoft.com/office/drawing/2010/main" spid="_x0000_s8196"/>
                </a:ext>
                <a:ext uri="{FF2B5EF4-FFF2-40B4-BE49-F238E27FC236}">
                  <a16:creationId xmlns:a16="http://schemas.microsoft.com/office/drawing/2014/main" id="{00000000-0008-0000-1500-000004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mc:AlternateContent xmlns:mc="http://schemas.openxmlformats.org/markup-compatibility/2006">
    <mc:Choice xmlns:a14="http://schemas.microsoft.com/office/drawing/2010/main" Requires="a14">
      <xdr:twoCellAnchor>
        <xdr:from>
          <xdr:col>1</xdr:col>
          <xdr:colOff>38100</xdr:colOff>
          <xdr:row>19</xdr:row>
          <xdr:rowOff>152400</xdr:rowOff>
        </xdr:from>
        <xdr:to>
          <xdr:col>1</xdr:col>
          <xdr:colOff>342900</xdr:colOff>
          <xdr:row>21</xdr:row>
          <xdr:rowOff>31432</xdr:rowOff>
        </xdr:to>
        <xdr:sp xmlns:xdr="http://schemas.openxmlformats.org/drawingml/2006/spreadsheetDrawing" macro="" textlink="">
          <xdr:nvSpPr>
            <xdr:cNvPr id="8197" name="Check Box 5" hidden="1">
              <a:extLst xmlns:a="http://schemas.openxmlformats.org/drawingml/2006/main">
                <a:ext uri="{63B3BB69-23CF-44E3-9099-C40C66FF867C}">
                  <a14:compatExt xmlns:a14="http://schemas.microsoft.com/office/drawing/2010/main" spid="_x0000_s8197"/>
                </a:ext>
                <a:ext uri="{FF2B5EF4-FFF2-40B4-BE49-F238E27FC236}">
                  <a16:creationId xmlns:a16="http://schemas.microsoft.com/office/drawing/2014/main" id="{00000000-0008-0000-1500-000005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mc:AlternateContent xmlns:mc="http://schemas.openxmlformats.org/markup-compatibility/2006">
    <mc:Choice xmlns:a14="http://schemas.microsoft.com/office/drawing/2010/main" Requires="a14">
      <xdr:twoCellAnchor>
        <xdr:from>
          <xdr:col>6</xdr:col>
          <xdr:colOff>50602</xdr:colOff>
          <xdr:row>11</xdr:row>
          <xdr:rowOff>145732</xdr:rowOff>
        </xdr:from>
        <xdr:to>
          <xdr:col>6</xdr:col>
          <xdr:colOff>355402</xdr:colOff>
          <xdr:row>13</xdr:row>
          <xdr:rowOff>19050</xdr:rowOff>
        </xdr:to>
        <xdr:sp xmlns:xdr="http://schemas.openxmlformats.org/drawingml/2006/spreadsheetDrawing" macro="" textlink="">
          <xdr:nvSpPr>
            <xdr:cNvPr id="8198" name="Check Box 6" hidden="1">
              <a:extLst xmlns:a="http://schemas.openxmlformats.org/drawingml/2006/main">
                <a:ext uri="{63B3BB69-23CF-44E3-9099-C40C66FF867C}">
                  <a14:compatExt xmlns:a14="http://schemas.microsoft.com/office/drawing/2010/main" spid="_x0000_s8198"/>
                </a:ext>
                <a:ext uri="{FF2B5EF4-FFF2-40B4-BE49-F238E27FC236}">
                  <a16:creationId xmlns:a16="http://schemas.microsoft.com/office/drawing/2014/main" id="{00000000-0008-0000-1500-000006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mc:AlternateContent xmlns:mc="http://schemas.openxmlformats.org/markup-compatibility/2006">
    <mc:Choice xmlns:a14="http://schemas.microsoft.com/office/drawing/2010/main" Requires="a14">
      <xdr:twoCellAnchor>
        <xdr:from>
          <xdr:col>6</xdr:col>
          <xdr:colOff>50602</xdr:colOff>
          <xdr:row>13</xdr:row>
          <xdr:rowOff>145732</xdr:rowOff>
        </xdr:from>
        <xdr:to>
          <xdr:col>6</xdr:col>
          <xdr:colOff>355402</xdr:colOff>
          <xdr:row>15</xdr:row>
          <xdr:rowOff>19050</xdr:rowOff>
        </xdr:to>
        <xdr:sp xmlns:xdr="http://schemas.openxmlformats.org/drawingml/2006/spreadsheetDrawing" macro="" textlink="">
          <xdr:nvSpPr>
            <xdr:cNvPr id="8199" name="Check Box 7" hidden="1">
              <a:extLst xmlns:a="http://schemas.openxmlformats.org/drawingml/2006/main">
                <a:ext uri="{63B3BB69-23CF-44E3-9099-C40C66FF867C}">
                  <a14:compatExt xmlns:a14="http://schemas.microsoft.com/office/drawing/2010/main" spid="_x0000_s8199"/>
                </a:ext>
                <a:ext uri="{FF2B5EF4-FFF2-40B4-BE49-F238E27FC236}">
                  <a16:creationId xmlns:a16="http://schemas.microsoft.com/office/drawing/2014/main" id="{00000000-0008-0000-1500-000007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mc:AlternateContent xmlns:mc="http://schemas.openxmlformats.org/markup-compatibility/2006">
    <mc:Choice xmlns:a14="http://schemas.microsoft.com/office/drawing/2010/main" Requires="a14">
      <xdr:twoCellAnchor>
        <xdr:from>
          <xdr:col>6</xdr:col>
          <xdr:colOff>50602</xdr:colOff>
          <xdr:row>15</xdr:row>
          <xdr:rowOff>145732</xdr:rowOff>
        </xdr:from>
        <xdr:to>
          <xdr:col>6</xdr:col>
          <xdr:colOff>355402</xdr:colOff>
          <xdr:row>17</xdr:row>
          <xdr:rowOff>19050</xdr:rowOff>
        </xdr:to>
        <xdr:sp xmlns:xdr="http://schemas.openxmlformats.org/drawingml/2006/spreadsheetDrawing" macro="" textlink="">
          <xdr:nvSpPr>
            <xdr:cNvPr id="8200" name="Check Box 8" hidden="1">
              <a:extLst xmlns:a="http://schemas.openxmlformats.org/drawingml/2006/main">
                <a:ext uri="{63B3BB69-23CF-44E3-9099-C40C66FF867C}">
                  <a14:compatExt xmlns:a14="http://schemas.microsoft.com/office/drawing/2010/main" spid="_x0000_s8200"/>
                </a:ext>
                <a:ext uri="{FF2B5EF4-FFF2-40B4-BE49-F238E27FC236}">
                  <a16:creationId xmlns:a16="http://schemas.microsoft.com/office/drawing/2014/main" id="{00000000-0008-0000-1500-000008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mc:AlternateContent xmlns:mc="http://schemas.openxmlformats.org/markup-compatibility/2006">
    <mc:Choice xmlns:a14="http://schemas.microsoft.com/office/drawing/2010/main" Requires="a14">
      <xdr:twoCellAnchor>
        <xdr:from>
          <xdr:col>10</xdr:col>
          <xdr:colOff>50602</xdr:colOff>
          <xdr:row>13</xdr:row>
          <xdr:rowOff>133350</xdr:rowOff>
        </xdr:from>
        <xdr:to>
          <xdr:col>10</xdr:col>
          <xdr:colOff>355402</xdr:colOff>
          <xdr:row>15</xdr:row>
          <xdr:rowOff>12382</xdr:rowOff>
        </xdr:to>
        <xdr:sp xmlns:xdr="http://schemas.openxmlformats.org/drawingml/2006/spreadsheetDrawing" macro="" textlink="">
          <xdr:nvSpPr>
            <xdr:cNvPr id="8201" name="Check Box 9" hidden="1">
              <a:extLst xmlns:a="http://schemas.openxmlformats.org/drawingml/2006/main">
                <a:ext uri="{63B3BB69-23CF-44E3-9099-C40C66FF867C}">
                  <a14:compatExt xmlns:a14="http://schemas.microsoft.com/office/drawing/2010/main" spid="_x0000_s8201"/>
                </a:ext>
                <a:ext uri="{FF2B5EF4-FFF2-40B4-BE49-F238E27FC236}">
                  <a16:creationId xmlns:a16="http://schemas.microsoft.com/office/drawing/2014/main" id="{00000000-0008-0000-1500-000009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mc:AlternateContent xmlns:mc="http://schemas.openxmlformats.org/markup-compatibility/2006">
    <mc:Choice xmlns:a14="http://schemas.microsoft.com/office/drawing/2010/main" Requires="a14">
      <xdr:twoCellAnchor>
        <xdr:from>
          <xdr:col>10</xdr:col>
          <xdr:colOff>50602</xdr:colOff>
          <xdr:row>15</xdr:row>
          <xdr:rowOff>145732</xdr:rowOff>
        </xdr:from>
        <xdr:to>
          <xdr:col>10</xdr:col>
          <xdr:colOff>355402</xdr:colOff>
          <xdr:row>17</xdr:row>
          <xdr:rowOff>19050</xdr:rowOff>
        </xdr:to>
        <xdr:sp xmlns:xdr="http://schemas.openxmlformats.org/drawingml/2006/spreadsheetDrawing" macro="" textlink="">
          <xdr:nvSpPr>
            <xdr:cNvPr id="8202" name="Check Box 10" hidden="1">
              <a:extLst xmlns:a="http://schemas.openxmlformats.org/drawingml/2006/main">
                <a:ext uri="{63B3BB69-23CF-44E3-9099-C40C66FF867C}">
                  <a14:compatExt xmlns:a14="http://schemas.microsoft.com/office/drawing/2010/main" spid="_x0000_s8202"/>
                </a:ext>
                <a:ext uri="{FF2B5EF4-FFF2-40B4-BE49-F238E27FC236}">
                  <a16:creationId xmlns:a16="http://schemas.microsoft.com/office/drawing/2014/main" id="{00000000-0008-0000-1500-00000A200000}"/>
                </a:ext>
              </a:extLst>
            </xdr:cNvPr>
            <xdr:cNvSpPr/>
          </xdr:nvSpPr>
          <xdr:spPr bwMode="auto">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Choice>
  </mc:AlternateContent>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Users/cawtem/AppData/Local/Microsoft/Windows/Temporary%20Internet%20Files/Content.Outlook/IZJJXYAV/LUD2015-005_HRASheduleEvents_V1%200_31May2016%20(3).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TrustHQ/Governance/RESEARCH/R&amp;D%20Dept/A1%20Costing%20Form/AI%20Costing%20Form/Costing%20Form%20final%20version.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TrustHQ/Governance/RESEARCH/R&amp;D%20Dept/Studies/CAN/CAN1304%20Al-Salihi,%20Omar/10%20Finance/Costing/Non-Commercial%20Costing%20Template%20V091216.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Users/chibwp/AppData/Local/Microsoft/Windows/Temporary%20Internet%20Files/Content.Outlook/5GM4LCMM/Copy%20of%20Non%20commercial%20costing%20template%20Single%20arm%20-V071116.xlsx"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Costing%20Form%20-%20MP6%2018.1.10.xls"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Users/chibwp/AppData/Local/Microsoft/Windows/Temporary%20Internet%20Files/Content.Outlook/5GM4LCMM/Superceded/Non-Commercial%20Costing%20template%20Single%20Arm%20(Cancer).xlsx"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Users/chibwp/AppData/Local/Microsoft/Windows/Temporary%20Internet%20Files/Content.Outlook/5GM4LCMM/Non-Commercial%20Costing%20template%20Single%20Arm-V150816.xlsx"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Users/chibwp/AppData/Local/Microsoft/Windows/Temporary%20Internet%20Files/Content.Outlook/5GM4LCMM/Non-Commercial%20Costing%20template%20Single%20Arm.xlsx"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TrustHQ/Governance/RESEARCH/R&amp;D%20Dept/Finance/Non-commerical%20income/Non-Commercial%20Costings%20templates/CAN0976%20Proceedure%20costings.xlsx"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General Guidance"/>
      <sheetName val="Study Information"/>
      <sheetName val="General Activities"/>
      <sheetName val="Arm A1 Per-Participant Activit "/>
      <sheetName val="Arm A2&amp;B Per-Participant Activi"/>
      <sheetName val="Arm C Per-Participant Activitie"/>
      <sheetName val="Arm D Per-Participant Activitie"/>
      <sheetName val="Hints &amp; Tips"/>
      <sheetName val="List of Activities"/>
      <sheetName val="User Feedback"/>
      <sheetName val="Menu Data"/>
      <sheetName val="Staff Cost Table"/>
      <sheetName val="Look Up"/>
      <sheetName val="#REF"/>
    </sheetNames>
    <sheetDataSet>
      <sheetData sheetId="0"/>
      <sheetData sheetId="1"/>
      <sheetData sheetId="2"/>
      <sheetData sheetId="3"/>
      <sheetData sheetId="4"/>
      <sheetData sheetId="5"/>
      <sheetData sheetId="6"/>
      <sheetData sheetId="7"/>
      <sheetData sheetId="8"/>
      <sheetData sheetId="9"/>
      <sheetData sheetId="10">
        <row r="2">
          <cell r="A2" t="str">
            <v>Consent Processes</v>
          </cell>
        </row>
        <row r="3">
          <cell r="A3" t="str">
            <v>Study Set Up</v>
          </cell>
        </row>
        <row r="4">
          <cell r="A4" t="str">
            <v>Study Monitoring</v>
          </cell>
        </row>
        <row r="5">
          <cell r="A5" t="str">
            <v>Study Close Down</v>
          </cell>
        </row>
        <row r="6">
          <cell r="A6" t="str">
            <v>OTHER - Please specify by over-writing</v>
          </cell>
        </row>
      </sheetData>
      <sheetData sheetId="11">
        <row r="4">
          <cell r="B4" t="str">
            <v>Principal Investigator</v>
          </cell>
        </row>
        <row r="5">
          <cell r="B5" t="str">
            <v>Local Research Registrar</v>
          </cell>
        </row>
        <row r="6">
          <cell r="B6" t="str">
            <v>Local Research Fellow</v>
          </cell>
        </row>
        <row r="7">
          <cell r="B7" t="str">
            <v>Local Research Nurse</v>
          </cell>
        </row>
        <row r="8">
          <cell r="B8" t="str">
            <v>Local Clinical Nurse Specialist</v>
          </cell>
        </row>
        <row r="9">
          <cell r="B9" t="str">
            <v>Local Radiologist</v>
          </cell>
        </row>
        <row r="10">
          <cell r="B10" t="str">
            <v>Local Radiographer</v>
          </cell>
        </row>
        <row r="11">
          <cell r="B11" t="str">
            <v>Local Physio/ Occupational Therapist</v>
          </cell>
        </row>
        <row r="12">
          <cell r="B12" t="str">
            <v>Local Outpatient Staff</v>
          </cell>
        </row>
        <row r="13">
          <cell r="B13" t="str">
            <v>Local GP  </v>
          </cell>
        </row>
        <row r="14">
          <cell r="B14" t="str">
            <v>Local GP Practice Manager</v>
          </cell>
        </row>
        <row r="15">
          <cell r="B15" t="str">
            <v>Local GP Practice Nurse</v>
          </cell>
        </row>
        <row r="16">
          <cell r="B16" t="str">
            <v>Local Dentist</v>
          </cell>
        </row>
        <row r="17">
          <cell r="B17" t="str">
            <v>Local Pharmacist</v>
          </cell>
        </row>
        <row r="18">
          <cell r="B18" t="str">
            <v>Local Pharmacy Technician</v>
          </cell>
        </row>
        <row r="19">
          <cell r="B19" t="str">
            <v>Local Laboratory Staff</v>
          </cell>
        </row>
        <row r="20">
          <cell r="B20" t="str">
            <v>Local Administrative &amp; Clerical Staff</v>
          </cell>
        </row>
        <row r="21">
          <cell r="B21" t="str">
            <v>External Staff (Central Research Team)</v>
          </cell>
        </row>
      </sheetData>
      <sheetData sheetId="12" refreshError="1"/>
      <sheetData sheetId="13" refreshError="1"/>
    </sheetDataSet>
  </externalBook>
</externalLink>
</file>

<file path=xl/externalLinks/externalLink2.xml><?xml version="1.0" encoding="utf-8"?>
<externalLink xmlns="http://schemas.openxmlformats.org/spreadsheetml/2006/main">
  <externalBook xmlns:d2p1="http://schemas.openxmlformats.org/officeDocument/2006/relationships" d2p1:id="rId1">
    <sheetNames>
      <sheetName val="PROCEDURE INDEX"/>
      <sheetName val="Per Patient Budget"/>
      <sheetName val="Staff WTE print"/>
      <sheetName val="Staff WTE Equivalent"/>
      <sheetName val="Time card"/>
      <sheetName val="Print Options"/>
      <sheetName val="Research Project Summary"/>
      <sheetName val="Divisional Project Summary"/>
      <sheetName val="Set up, Management, Write up"/>
      <sheetName val="Research Costs Per Patient"/>
      <sheetName val="Support Costs Per Patient"/>
      <sheetName val="Treatment Costs Per Patient"/>
      <sheetName val="Pharmacy Drug costs"/>
      <sheetName val="R &amp; D Authorisation"/>
      <sheetName val="Data Sheet Costs"/>
      <sheetName val="R &amp; D Overhead apportionment"/>
      <sheetName val="Data Sheet Inflation_Overheads"/>
      <sheetName val="Lists"/>
      <sheetName val="Consumables Li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Project Costs</v>
          </cell>
          <cell r="V3" t="str">
            <v>Study_Type</v>
          </cell>
          <cell r="W3" t="str">
            <v>Educational</v>
          </cell>
          <cell r="X3" t="str">
            <v>Set_up</v>
          </cell>
          <cell r="AA3" t="str">
            <v>Procedures</v>
          </cell>
          <cell r="AC3" t="str">
            <v>Costs_Fall_To</v>
          </cell>
          <cell r="AD3" t="str">
            <v>Project_Complete</v>
          </cell>
          <cell r="AE3" t="str">
            <v>Cost Type</v>
          </cell>
          <cell r="AF3" t="str">
            <v>Process</v>
          </cell>
        </row>
        <row r="4">
          <cell r="A4" t="str">
            <v>Staff</v>
          </cell>
          <cell r="V4" t="str">
            <v>Portfolio Non-commercial</v>
          </cell>
          <cell r="W4" t="str">
            <v>None</v>
          </cell>
          <cell r="X4" t="str">
            <v>None</v>
          </cell>
          <cell r="AA4" t="str">
            <v>None</v>
          </cell>
          <cell r="AC4" t="str">
            <v>None</v>
          </cell>
          <cell r="AD4" t="str">
            <v>No</v>
          </cell>
          <cell r="AE4" t="str">
            <v>Research Cost</v>
          </cell>
          <cell r="AF4" t="str">
            <v>None</v>
          </cell>
        </row>
        <row r="5">
          <cell r="A5" t="str">
            <v>Automated_Laboratory</v>
          </cell>
          <cell r="V5" t="str">
            <v>Non Portfolio Non-commercial</v>
          </cell>
          <cell r="W5" t="str">
            <v>4th Year</v>
          </cell>
          <cell r="X5" t="str">
            <v>Advertising</v>
          </cell>
          <cell r="AA5" t="str">
            <v>Adverse events</v>
          </cell>
          <cell r="AC5" t="str">
            <v>Division A</v>
          </cell>
          <cell r="AD5" t="str">
            <v>Yes</v>
          </cell>
          <cell r="AE5" t="str">
            <v>Support Cost</v>
          </cell>
          <cell r="AF5" t="str">
            <v>Blood sample</v>
          </cell>
        </row>
        <row r="6">
          <cell r="A6" t="str">
            <v>Biochemistry</v>
          </cell>
          <cell r="V6" t="str">
            <v>Internal Grant Application</v>
          </cell>
          <cell r="W6" t="str">
            <v>MPhil</v>
          </cell>
          <cell r="X6" t="str">
            <v>Ethics submission</v>
          </cell>
          <cell r="AA6" t="str">
            <v>Blood sample</v>
          </cell>
          <cell r="AC6" t="str">
            <v>Division B</v>
          </cell>
          <cell r="AE6" t="str">
            <v>Excess Treatment</v>
          </cell>
          <cell r="AF6" t="str">
            <v>Clinician training to deliver the treatment</v>
          </cell>
        </row>
        <row r="7">
          <cell r="A7" t="str">
            <v>Cardiology</v>
          </cell>
          <cell r="V7" t="str">
            <v>Own Acouint</v>
          </cell>
          <cell r="W7" t="str">
            <v>MSc</v>
          </cell>
          <cell r="X7" t="str">
            <v>Info. Sheet development</v>
          </cell>
          <cell r="AA7" t="str">
            <v>Concomitant medication check</v>
          </cell>
          <cell r="AC7" t="str">
            <v>Division C</v>
          </cell>
          <cell r="AF7" t="str">
            <v>Concomitant medication check</v>
          </cell>
        </row>
        <row r="8">
          <cell r="A8" t="str">
            <v>Consumables</v>
          </cell>
          <cell r="W8" t="str">
            <v>Other</v>
          </cell>
          <cell r="X8" t="str">
            <v>Leaflets</v>
          </cell>
          <cell r="AA8" t="str">
            <v>CRF completion</v>
          </cell>
          <cell r="AC8" t="str">
            <v>Division D</v>
          </cell>
          <cell r="AF8" t="str">
            <v>CRF completion</v>
          </cell>
        </row>
        <row r="9">
          <cell r="A9" t="str">
            <v>Equipment</v>
          </cell>
          <cell r="W9" t="str">
            <v>PhD</v>
          </cell>
          <cell r="X9" t="str">
            <v>Proposal evaluation</v>
          </cell>
          <cell r="AA9" t="str">
            <v>Dispense diaries</v>
          </cell>
          <cell r="AC9" t="str">
            <v>R &amp; D</v>
          </cell>
          <cell r="AF9" t="str">
            <v>Database search</v>
          </cell>
        </row>
        <row r="10">
          <cell r="A10" t="str">
            <v>Haematology</v>
          </cell>
          <cell r="X10" t="str">
            <v>Protocol development</v>
          </cell>
          <cell r="AA10" t="str">
            <v>Drug accountability</v>
          </cell>
          <cell r="AC10" t="str">
            <v>BRU-Nutrition</v>
          </cell>
          <cell r="AF10" t="str">
            <v>Data Analysis</v>
          </cell>
        </row>
        <row r="11">
          <cell r="A11" t="str">
            <v>Histo_Immunogenetics</v>
          </cell>
          <cell r="X11" t="str">
            <v>Questionnaire development</v>
          </cell>
          <cell r="AA11" t="str">
            <v>Eligibility checks</v>
          </cell>
          <cell r="AC11" t="str">
            <v>BRU-Respiratory</v>
          </cell>
          <cell r="AF11" t="str">
            <v>Device Accountability</v>
          </cell>
        </row>
        <row r="12">
          <cell r="A12" t="str">
            <v>Immunology</v>
          </cell>
          <cell r="X12" t="str">
            <v>R&amp;D submission</v>
          </cell>
          <cell r="AA12" t="str">
            <v>Height /weight measurements</v>
          </cell>
          <cell r="AC12" t="str">
            <v>Cancer Network</v>
          </cell>
          <cell r="AF12" t="str">
            <v>Device calibration</v>
          </cell>
        </row>
        <row r="13">
          <cell r="A13" t="str">
            <v>Micro_Biology</v>
          </cell>
          <cell r="AA13" t="str">
            <v>Informed consent</v>
          </cell>
          <cell r="AC13" t="str">
            <v>CLRN Funded</v>
          </cell>
          <cell r="AF13" t="str">
            <v>Dispense diaries</v>
          </cell>
        </row>
        <row r="14">
          <cell r="A14" t="str">
            <v>Molecular_Biology</v>
          </cell>
          <cell r="AA14" t="str">
            <v>Medical history</v>
          </cell>
          <cell r="AC14" t="str">
            <v>Third Party</v>
          </cell>
          <cell r="AF14" t="str">
            <v>Drug Accountability</v>
          </cell>
        </row>
        <row r="15">
          <cell r="A15" t="str">
            <v>Nuclear_Medicine </v>
          </cell>
          <cell r="AA15" t="str">
            <v>Monitoring visits</v>
          </cell>
          <cell r="AC15" t="str">
            <v>UoS</v>
          </cell>
          <cell r="AF15" t="str">
            <v>Drug Administration</v>
          </cell>
        </row>
        <row r="16">
          <cell r="A16" t="str">
            <v>Osteoporosis_Centre (DivB)</v>
          </cell>
          <cell r="AA16" t="str">
            <v>Physical examination</v>
          </cell>
          <cell r="AC16" t="str">
            <v>WTCRF</v>
          </cell>
          <cell r="AF16" t="str">
            <v>Eligibility</v>
          </cell>
        </row>
        <row r="17">
          <cell r="A17" t="str">
            <v>Outpatients_FirstAttendance_Single_Professional</v>
          </cell>
          <cell r="AA17" t="str">
            <v>Pregnancy test</v>
          </cell>
          <cell r="AF17" t="str">
            <v>Finance Support</v>
          </cell>
        </row>
        <row r="18">
          <cell r="A18" t="str">
            <v>Outpatients_FollowUp_Single_Professional</v>
          </cell>
          <cell r="AA18" t="str">
            <v>Prescription for study </v>
          </cell>
          <cell r="AF18" t="str">
            <v>Focus Group</v>
          </cell>
        </row>
        <row r="19">
          <cell r="A19" t="str">
            <v>Pharmacy</v>
          </cell>
          <cell r="AA19" t="str">
            <v>Randomisation</v>
          </cell>
          <cell r="AF19" t="str">
            <v>General Observation</v>
          </cell>
        </row>
        <row r="20">
          <cell r="A20" t="str">
            <v>Radiology</v>
          </cell>
          <cell r="AA20" t="str">
            <v>Review diaries</v>
          </cell>
          <cell r="AF20" t="str">
            <v>Height/Weight Measurements</v>
          </cell>
        </row>
        <row r="21">
          <cell r="A21" t="str">
            <v>Trace_Elements</v>
          </cell>
          <cell r="AA21" t="str">
            <v>Transfer data to CRF</v>
          </cell>
          <cell r="AF21" t="str">
            <v>Informed consent</v>
          </cell>
        </row>
        <row r="22">
          <cell r="AA22" t="str">
            <v>Urinalysis(dipstick)</v>
          </cell>
          <cell r="AF22" t="str">
            <v>Instructions for patient</v>
          </cell>
        </row>
        <row r="23">
          <cell r="AF23" t="str">
            <v>Interviewing NHS staff or patients</v>
          </cell>
        </row>
        <row r="24">
          <cell r="AF24" t="str">
            <v>Medical history</v>
          </cell>
        </row>
        <row r="25">
          <cell r="AF25" t="str">
            <v>Monitoring visits</v>
          </cell>
        </row>
        <row r="26">
          <cell r="AF26" t="str">
            <v>Note search</v>
          </cell>
        </row>
        <row r="27">
          <cell r="AF27" t="str">
            <v>OTHER - Please list</v>
          </cell>
        </row>
        <row r="28">
          <cell r="AF28" t="str">
            <v>Patient Follow-up</v>
          </cell>
        </row>
        <row r="29">
          <cell r="AF29" t="str">
            <v>Patient Follow-up : long-term study evaluation</v>
          </cell>
        </row>
        <row r="30">
          <cell r="AF30" t="str">
            <v>Performance evaluation/assessment</v>
          </cell>
        </row>
        <row r="31">
          <cell r="AF31" t="str">
            <v>Physical examination</v>
          </cell>
        </row>
        <row r="32">
          <cell r="AF32" t="str">
            <v>Pregnancy test</v>
          </cell>
        </row>
        <row r="33">
          <cell r="AF33" t="str">
            <v>Prescription for study </v>
          </cell>
        </row>
        <row r="34">
          <cell r="AF34" t="str">
            <v>Prescription for study </v>
          </cell>
        </row>
        <row r="35">
          <cell r="AF35" t="str">
            <v>Pre-submission grant work</v>
          </cell>
        </row>
        <row r="36">
          <cell r="AF36" t="str">
            <v>Procedures</v>
          </cell>
        </row>
        <row r="37">
          <cell r="AF37" t="str">
            <v>Project Maintenance</v>
          </cell>
        </row>
        <row r="38">
          <cell r="AF38" t="str">
            <v>Randomisation</v>
          </cell>
        </row>
        <row r="39">
          <cell r="AF39" t="str">
            <v>Resullt Dissemination</v>
          </cell>
        </row>
        <row r="40">
          <cell r="AF40" t="str">
            <v>Results publishing</v>
          </cell>
        </row>
        <row r="41">
          <cell r="AF41" t="str">
            <v>Review diaries</v>
          </cell>
        </row>
        <row r="42">
          <cell r="AF42" t="str">
            <v>Review Questionnaire</v>
          </cell>
        </row>
        <row r="43">
          <cell r="AF43" t="str">
            <v>SAE Reporting</v>
          </cell>
        </row>
        <row r="44">
          <cell r="AF44" t="str">
            <v>Screening Tests</v>
          </cell>
        </row>
        <row r="45">
          <cell r="AF45" t="str">
            <v>Set Up</v>
          </cell>
        </row>
        <row r="46">
          <cell r="AF46" t="str">
            <v>Telephone Interview</v>
          </cell>
        </row>
        <row r="47">
          <cell r="AF47" t="str">
            <v>Tests/Procedures</v>
          </cell>
        </row>
        <row r="48">
          <cell r="AF48" t="str">
            <v>Transfer data to CRF or eCRF</v>
          </cell>
        </row>
        <row r="49">
          <cell r="AF49" t="str">
            <v>Trial registration</v>
          </cell>
        </row>
        <row r="50">
          <cell r="AF50" t="str">
            <v>Urinalysis (dipstick)</v>
          </cell>
        </row>
        <row r="51">
          <cell r="AF51" t="str">
            <v>Uploading CRF</v>
          </cell>
        </row>
        <row r="52">
          <cell r="AF52" t="str">
            <v>Vital Signs/height/weight measurements</v>
          </cell>
        </row>
        <row r="53">
          <cell r="AF53" t="str">
            <v>Write Up</v>
          </cell>
        </row>
      </sheetData>
      <sheetData sheetId="18"/>
    </sheetDataSet>
  </externalBook>
</externalLink>
</file>

<file path=xl/externalLinks/externalLink3.xml><?xml version="1.0" encoding="utf-8"?>
<externalLink xmlns="http://schemas.openxmlformats.org/spreadsheetml/2006/main">
  <externalBook xmlns:d2p1="http://schemas.openxmlformats.org/officeDocument/2006/relationships" d2p1:id="rId1">
    <sheetNames>
      <sheetName val="Study Information &amp; rates"/>
      <sheetName val="Total Summary and Budget Tab"/>
      <sheetName val="Total summary"/>
      <sheetName val="Budget"/>
      <sheetName val="R&amp;D Overheads data"/>
      <sheetName val="Reconciliation"/>
      <sheetName val="Look Up"/>
      <sheetName val="Additional Study Activities"/>
      <sheetName val="Set-up and other costs"/>
      <sheetName val="Per patient Arm 1"/>
      <sheetName val="Per patient Arm 2"/>
      <sheetName val="Per patient Arm 3"/>
      <sheetName val="Per patient Arm 4"/>
      <sheetName val="Per patient Arm 5"/>
      <sheetName val="Pharmacy"/>
      <sheetName val="R&amp;D Authorisation Sheet"/>
      <sheetName val="Guidance"/>
      <sheetName val="Data Sheet Costs"/>
    </sheetNames>
    <sheetDataSet>
      <sheetData sheetId="0" refreshError="1"/>
      <sheetData sheetId="1" refreshError="1"/>
      <sheetData sheetId="2" refreshError="1"/>
      <sheetData sheetId="3" refreshError="1"/>
      <sheetData sheetId="4" refreshError="1"/>
      <sheetData sheetId="5" refreshError="1"/>
      <sheetData sheetId="6" refreshError="1">
        <row r="11">
          <cell r="A11" t="str">
            <v>Pharmacy</v>
          </cell>
        </row>
        <row r="16">
          <cell r="A16" t="str">
            <v>Pathology</v>
          </cell>
        </row>
        <row r="17">
          <cell r="A17" t="str">
            <v>Radiology</v>
          </cell>
        </row>
        <row r="18">
          <cell r="A18" t="str">
            <v>Opthamology</v>
          </cell>
        </row>
        <row r="19">
          <cell r="A19" t="str">
            <v>Other Costs</v>
          </cell>
        </row>
      </sheetData>
      <sheetData sheetId="7" refreshError="1"/>
      <sheetData sheetId="8" refreshError="1">
        <row r="4">
          <cell r="C4">
            <v>250</v>
          </cell>
        </row>
      </sheetData>
      <sheetData sheetId="9" refreshError="1">
        <row r="51">
          <cell r="AS51">
            <v>0</v>
          </cell>
        </row>
      </sheetData>
      <sheetData sheetId="10" refreshError="1">
        <row r="51">
          <cell r="AS51">
            <v>0</v>
          </cell>
        </row>
      </sheetData>
      <sheetData sheetId="11" refreshError="1">
        <row r="51">
          <cell r="AS51">
            <v>0</v>
          </cell>
        </row>
      </sheetData>
      <sheetData sheetId="12" refreshError="1">
        <row r="51">
          <cell r="AS51">
            <v>0</v>
          </cell>
        </row>
      </sheetData>
      <sheetData sheetId="13" refreshError="1">
        <row r="51">
          <cell r="AS51">
            <v>0</v>
          </cell>
        </row>
      </sheetData>
      <sheetData sheetId="14" refreshError="1"/>
      <sheetData sheetId="15" refreshError="1"/>
      <sheetData sheetId="16" refreshError="1"/>
      <sheetData sheetId="17" refreshError="1">
        <row r="9">
          <cell r="A9" t="str">
            <v>Staff</v>
          </cell>
        </row>
        <row r="10">
          <cell r="A10" t="str">
            <v>Band 1</v>
          </cell>
        </row>
        <row r="11">
          <cell r="A11" t="str">
            <v>Band 2 (eg MTO)</v>
          </cell>
        </row>
        <row r="12">
          <cell r="A12" t="str">
            <v>Band 3 (eg Clerical)</v>
          </cell>
        </row>
        <row r="13">
          <cell r="A13" t="str">
            <v>Band 4 (eg dental nurse, MLSO)</v>
          </cell>
        </row>
        <row r="14">
          <cell r="A14" t="str">
            <v>Band 5 (eg AHPs)</v>
          </cell>
        </row>
        <row r="15">
          <cell r="A15" t="str">
            <v>Band 6 (eg Staff Nurse/Midwife)</v>
          </cell>
        </row>
        <row r="16">
          <cell r="A16" t="str">
            <v>Band 7 (eg Senior Nurse)</v>
          </cell>
        </row>
        <row r="17">
          <cell r="A17" t="str">
            <v>Band 8A (eg Senior Clinical Scientist)</v>
          </cell>
        </row>
        <row r="18">
          <cell r="A18" t="str">
            <v>Band 8B (eg Nurse Consultant)</v>
          </cell>
        </row>
        <row r="19">
          <cell r="A19" t="str">
            <v>Band 8C (eg Senior Manager)</v>
          </cell>
        </row>
        <row r="20">
          <cell r="A20" t="str">
            <v>Band 8D (eg Director)</v>
          </cell>
        </row>
        <row r="21">
          <cell r="A21" t="str">
            <v>Band 9 (eg Executive)</v>
          </cell>
        </row>
        <row r="22">
          <cell r="A22" t="str">
            <v>Student</v>
          </cell>
        </row>
        <row r="23">
          <cell r="A23" t="str">
            <v>Consultant</v>
          </cell>
        </row>
        <row r="24">
          <cell r="A24" t="str">
            <v>Specialist Registrar</v>
          </cell>
        </row>
        <row r="25">
          <cell r="A25" t="str">
            <v>SHO</v>
          </cell>
        </row>
        <row r="26">
          <cell r="A26" t="str">
            <v>HO</v>
          </cell>
        </row>
        <row r="27">
          <cell r="A27" t="str">
            <v>Associate Specialist</v>
          </cell>
        </row>
        <row r="28">
          <cell r="A28" t="str">
            <v>Consumables</v>
          </cell>
        </row>
        <row r="29">
          <cell r="A29" t="str">
            <v>Pulmonary Function Tests</v>
          </cell>
        </row>
        <row r="30">
          <cell r="A30" t="str">
            <v>Apron Polythene Unisex Disposable</v>
          </cell>
        </row>
        <row r="31">
          <cell r="A31" t="str">
            <v>Mask face surgical fluidshield membrane</v>
          </cell>
        </row>
        <row r="32">
          <cell r="A32" t="str">
            <v>Mask face surgical duckbill</v>
          </cell>
        </row>
        <row r="33">
          <cell r="A33" t="str">
            <v>Airway oropharyngeal size 000 - lilac</v>
          </cell>
        </row>
        <row r="34">
          <cell r="A34" t="str">
            <v>Airway oropharyngeal size 00 - blue</v>
          </cell>
        </row>
        <row r="35">
          <cell r="A35" t="str">
            <v>Airway oropharyngeal size 0 - grey</v>
          </cell>
        </row>
        <row r="36">
          <cell r="A36" t="str">
            <v>Airway oropharyngeal size 1 - white</v>
          </cell>
        </row>
        <row r="37">
          <cell r="A37" t="str">
            <v>Airway oropharyngeal size 2 - green</v>
          </cell>
        </row>
        <row r="38">
          <cell r="A38" t="str">
            <v>Airway oropharyngeal size 3 - orange</v>
          </cell>
        </row>
        <row r="39">
          <cell r="A39" t="str">
            <v>Airway oropharyngeal size 4 - red</v>
          </cell>
        </row>
        <row r="40">
          <cell r="A40" t="str">
            <v>nasal cannula - paediatric</v>
          </cell>
        </row>
        <row r="41">
          <cell r="A41" t="str">
            <v>nasal cannula - adult</v>
          </cell>
        </row>
        <row r="42">
          <cell r="A42" t="str">
            <v>facemask aerosol - paediatric</v>
          </cell>
        </row>
        <row r="43">
          <cell r="A43" t="str">
            <v>facemask aerosol - adult with nebuliser connector</v>
          </cell>
        </row>
        <row r="44">
          <cell r="A44" t="str">
            <v>facemask aerosol - adult non rebreathing</v>
          </cell>
        </row>
        <row r="45">
          <cell r="A45" t="str">
            <v>facemask single use - paediatric</v>
          </cell>
        </row>
        <row r="46">
          <cell r="A46" t="str">
            <v>facemask oxygen med conc - paediatric</v>
          </cell>
        </row>
        <row r="47">
          <cell r="A47" t="str">
            <v>facemask oxygen med conc - adult</v>
          </cell>
        </row>
        <row r="48">
          <cell r="A48" t="str">
            <v>catheter mount for suction catheteres</v>
          </cell>
        </row>
        <row r="49">
          <cell r="A49" t="str">
            <v>Peak Flow Meter mouthpiece</v>
          </cell>
        </row>
        <row r="50">
          <cell r="A50" t="str">
            <v>Peak Flow Meter mouthpiece single use - adult</v>
          </cell>
        </row>
        <row r="51">
          <cell r="A51" t="str">
            <v>Tracheal Tube sterile/siliconised (var sizes)</v>
          </cell>
        </row>
        <row r="52">
          <cell r="A52" t="str">
            <v>Tracheal Tube murphy eye sterile (var sizes)</v>
          </cell>
        </row>
        <row r="53">
          <cell r="A53" t="str">
            <v>Mucus extractor/collector 20ml without catheter</v>
          </cell>
        </row>
        <row r="54">
          <cell r="A54" t="str">
            <v>Mucus extractor/collector with brochoscopy adaptor</v>
          </cell>
        </row>
        <row r="55">
          <cell r="A55" t="str">
            <v>Tourniquet latex free blood collection</v>
          </cell>
        </row>
        <row r="56">
          <cell r="A56" t="str">
            <v>Blood collection set 21g &amp; 23g</v>
          </cell>
        </row>
        <row r="57">
          <cell r="A57" t="str">
            <v>Total equipment cost for single blood visit</v>
          </cell>
        </row>
        <row r="58">
          <cell r="A58" t="str">
            <v>Total cost for vaccination equipment per vaccine </v>
          </cell>
        </row>
        <row r="59">
          <cell r="A59" t="str">
            <v>Needles (pr Box)</v>
          </cell>
        </row>
        <row r="60">
          <cell r="A60" t="str">
            <v>Blue Needles</v>
          </cell>
        </row>
        <row r="61">
          <cell r="A61" t="str">
            <v>Green Needles</v>
          </cell>
        </row>
        <row r="62">
          <cell r="A62" t="str">
            <v>Mepopore tape (60 rolls)</v>
          </cell>
        </row>
        <row r="63">
          <cell r="A63" t="str">
            <v>Plasters (Pack 100)</v>
          </cell>
        </row>
        <row r="64">
          <cell r="A64" t="str">
            <v>Spot plasters</v>
          </cell>
        </row>
        <row r="65">
          <cell r="A65" t="str">
            <v>tagaderm dressings</v>
          </cell>
        </row>
        <row r="66">
          <cell r="A66" t="str">
            <v>Sterets(pack 100)</v>
          </cell>
        </row>
        <row r="67">
          <cell r="A67" t="str">
            <v>Syringes - 2ml  each</v>
          </cell>
        </row>
        <row r="68">
          <cell r="A68" t="str">
            <v>Syringes - 5ml  (100)</v>
          </cell>
        </row>
        <row r="69">
          <cell r="A69" t="str">
            <v>Syringes - 10ml  (100)</v>
          </cell>
        </row>
        <row r="70">
          <cell r="A70" t="str">
            <v>Syringes - 20ml  (100)</v>
          </cell>
        </row>
        <row r="71">
          <cell r="A71" t="str">
            <v>Venflons blue</v>
          </cell>
        </row>
        <row r="72">
          <cell r="A72" t="str">
            <v>Venflons green</v>
          </cell>
        </row>
        <row r="73">
          <cell r="A73" t="str">
            <v>cotton wool balls</v>
          </cell>
        </row>
        <row r="74">
          <cell r="A74" t="str">
            <v>Instrument tray</v>
          </cell>
        </row>
        <row r="75">
          <cell r="A75" t="str">
            <v>liquid handwash</v>
          </cell>
        </row>
        <row r="76">
          <cell r="A76" t="str">
            <v>Cleaning wipes</v>
          </cell>
        </row>
        <row r="77">
          <cell r="A77" t="str">
            <v>Blue butterflies</v>
          </cell>
        </row>
        <row r="78">
          <cell r="A78" t="str">
            <v>Green butterflies</v>
          </cell>
        </row>
        <row r="79">
          <cell r="A79" t="str">
            <v>Burrette giving set (box 20)</v>
          </cell>
        </row>
        <row r="80">
          <cell r="A80" t="str">
            <v>blood bottle (Vacutainer)</v>
          </cell>
        </row>
        <row r="81">
          <cell r="A81" t="str">
            <v>Blood giving set (box 60)</v>
          </cell>
        </row>
        <row r="82">
          <cell r="A82" t="str">
            <v>Specimen giving sets (box 100)</v>
          </cell>
        </row>
        <row r="83">
          <cell r="A83" t="str">
            <v>Suction tubing</v>
          </cell>
        </row>
        <row r="84">
          <cell r="A84" t="str">
            <v>Oxygen tubing</v>
          </cell>
        </row>
        <row r="85">
          <cell r="A85" t="str">
            <v>Bandages 5cm</v>
          </cell>
        </row>
        <row r="86">
          <cell r="A86" t="str">
            <v>pair of gloves</v>
          </cell>
        </row>
        <row r="87">
          <cell r="A87" t="str">
            <v>Gloves non sterile (box 100)</v>
          </cell>
        </row>
        <row r="88">
          <cell r="A88" t="str">
            <v>Gloves sterile (box 50)</v>
          </cell>
        </row>
        <row r="89">
          <cell r="A89" t="str">
            <v>Yellow rubbish bags</v>
          </cell>
        </row>
        <row r="90">
          <cell r="A90" t="str">
            <v>Namebands - Child (pack 100)</v>
          </cell>
        </row>
        <row r="91">
          <cell r="A91" t="str">
            <v>Namebands - Adult (pack 100)</v>
          </cell>
        </row>
        <row r="92">
          <cell r="A92" t="str">
            <v>Oral Syringes - 5ml (box 100)</v>
          </cell>
        </row>
        <row r="93">
          <cell r="A93" t="str">
            <v>Oral Syringes - 10ml (box 100)</v>
          </cell>
        </row>
        <row r="94">
          <cell r="A94" t="str">
            <v>Plastic Aprons (roll 200)</v>
          </cell>
        </row>
        <row r="95">
          <cell r="A95" t="str">
            <v>Tissues</v>
          </cell>
        </row>
        <row r="96">
          <cell r="A96" t="str">
            <v>Stethescope</v>
          </cell>
        </row>
        <row r="97">
          <cell r="A97" t="str">
            <v>Oxygen saturation probes (non disposable)</v>
          </cell>
        </row>
        <row r="98">
          <cell r="A98" t="str">
            <v>Urine bottle - disposable (pack 200)</v>
          </cell>
        </row>
        <row r="99">
          <cell r="A99" t="str">
            <v>Slipper pans -disposable (pack 200)</v>
          </cell>
        </row>
        <row r="100">
          <cell r="A100" t="str">
            <v>Vomit bowls - disposable (pack 200)</v>
          </cell>
        </row>
        <row r="101">
          <cell r="A101" t="str">
            <v>Sharps bin small</v>
          </cell>
        </row>
        <row r="102">
          <cell r="A102" t="str">
            <v>Sharps bin 1 litre</v>
          </cell>
        </row>
        <row r="103">
          <cell r="A103" t="str">
            <v>Ametop per tube</v>
          </cell>
        </row>
        <row r="104">
          <cell r="A104" t="str">
            <v>Emla per tube</v>
          </cell>
        </row>
        <row r="105">
          <cell r="A105" t="str">
            <v>Ethyl chloride spray per canister</v>
          </cell>
        </row>
        <row r="106">
          <cell r="A106" t="str">
            <v>Dry ice per 10kg bag</v>
          </cell>
        </row>
        <row r="107">
          <cell r="A107" t="str">
            <v>Adrenaline per ampule</v>
          </cell>
        </row>
        <row r="108">
          <cell r="A108" t="str">
            <v>Swab nasopharygeal</v>
          </cell>
        </row>
        <row r="109">
          <cell r="A109" t="str">
            <v>Swab oral</v>
          </cell>
        </row>
        <row r="110">
          <cell r="A110" t="str">
            <v>Digital thermometer</v>
          </cell>
        </row>
        <row r="111">
          <cell r="A111" t="str">
            <v>Thermometer dot matrix system single use</v>
          </cell>
        </row>
        <row r="112">
          <cell r="A112" t="str">
            <v>Pregnancy testing kit</v>
          </cell>
        </row>
        <row r="113">
          <cell r="A113" t="str">
            <v>Staff travel (est 10mile round trip)</v>
          </cell>
        </row>
        <row r="114">
          <cell r="A114" t="str">
            <v>Staff travel (est 15mile round trip)</v>
          </cell>
        </row>
        <row r="115">
          <cell r="A115" t="str">
            <v>Staff travel (est 20mile round trip)</v>
          </cell>
        </row>
        <row r="116">
          <cell r="A116" t="str">
            <v>Staff travel (est 25mile round trip)</v>
          </cell>
        </row>
        <row r="117">
          <cell r="A117" t="str">
            <v>Staff travel (est 30mile round trip)</v>
          </cell>
        </row>
        <row r="118">
          <cell r="A118" t="str">
            <v>Staff travel (est 35mile round trip)</v>
          </cell>
        </row>
        <row r="119">
          <cell r="A119" t="str">
            <v>Staff travel (est 40mile round trip)</v>
          </cell>
        </row>
        <row r="120">
          <cell r="A120" t="str">
            <v>Staff travel (est 45mile round trip)</v>
          </cell>
        </row>
        <row r="121">
          <cell r="A121" t="str">
            <v>Staff travel (est 50mile round trip)</v>
          </cell>
        </row>
        <row r="122">
          <cell r="A122" t="str">
            <v>WTCRF Room Hire</v>
          </cell>
        </row>
        <row r="123">
          <cell r="A123" t="str">
            <v>A4 white paper (500 sheets)</v>
          </cell>
        </row>
        <row r="124">
          <cell r="A124" t="str">
            <v>C5 envelopes (pack 500)</v>
          </cell>
        </row>
        <row r="125">
          <cell r="A125" t="str">
            <v>DL envelopes (pack 1000)</v>
          </cell>
        </row>
        <row r="126">
          <cell r="A126" t="str">
            <v>Printer Cartridge - Laser</v>
          </cell>
        </row>
        <row r="127">
          <cell r="A127" t="str">
            <v>Printer Cartridge - Inkjet</v>
          </cell>
        </row>
        <row r="128">
          <cell r="A128" t="str">
            <v>First class stamp</v>
          </cell>
        </row>
        <row r="129">
          <cell r="A129" t="str">
            <v>Equipment</v>
          </cell>
        </row>
        <row r="130">
          <cell r="A130" t="str">
            <v>Desktop PC</v>
          </cell>
        </row>
        <row r="131">
          <cell r="A131" t="str">
            <v>Laptop</v>
          </cell>
        </row>
        <row r="132">
          <cell r="A132" t="str">
            <v>PDA</v>
          </cell>
        </row>
        <row r="133">
          <cell r="A133" t="str">
            <v>Support Charge (per annum)</v>
          </cell>
        </row>
        <row r="134">
          <cell r="A134" t="str">
            <v>Laser Printer</v>
          </cell>
        </row>
        <row r="135">
          <cell r="A135" t="str">
            <v>Laser Printer - network</v>
          </cell>
        </row>
        <row r="136">
          <cell r="A136" t="str">
            <v>Colour Inkjet</v>
          </cell>
        </row>
        <row r="137">
          <cell r="A137" t="str">
            <v>Cardiology</v>
          </cell>
        </row>
        <row r="138">
          <cell r="A138" t="str">
            <v>Audiometry</v>
          </cell>
        </row>
        <row r="139">
          <cell r="A139" t="str">
            <v>Electrocardiograph</v>
          </cell>
        </row>
        <row r="140">
          <cell r="A140" t="str">
            <v>DEXA</v>
          </cell>
        </row>
        <row r="141">
          <cell r="A141" t="str">
            <v>Echocardiography</v>
          </cell>
        </row>
        <row r="142">
          <cell r="A142" t="str">
            <v>Clinical Biochemistry</v>
          </cell>
        </row>
        <row r="143">
          <cell r="A143" t="str">
            <v>3 HYDROXYBUTERATE</v>
          </cell>
        </row>
        <row r="144">
          <cell r="A144" t="str">
            <v>17 OH PROGESTERONE - BLOOD SPOT</v>
          </cell>
        </row>
        <row r="145">
          <cell r="A145" t="str">
            <v>17 OH PROGESTERONE - SERUM</v>
          </cell>
        </row>
        <row r="146">
          <cell r="A146" t="str">
            <v>17 OH PROGESTERONE - URINE</v>
          </cell>
        </row>
        <row r="147">
          <cell r="A147" t="str">
            <v>5 -HIAA</v>
          </cell>
        </row>
        <row r="148">
          <cell r="A148" t="str">
            <v>18 HYROXY CORTISOL</v>
          </cell>
        </row>
        <row r="149">
          <cell r="A149" t="str">
            <v>18 HYROXY CORTISOL (URINE)</v>
          </cell>
        </row>
        <row r="150">
          <cell r="A150" t="str">
            <v>ACE</v>
          </cell>
        </row>
        <row r="151">
          <cell r="A151" t="str">
            <v>ACTH</v>
          </cell>
        </row>
        <row r="152">
          <cell r="A152" t="str">
            <v>AFP (CSF)</v>
          </cell>
        </row>
        <row r="153">
          <cell r="A153" t="str">
            <v>ALBUMIN (URINE)</v>
          </cell>
        </row>
        <row r="154">
          <cell r="A154" t="str">
            <v>ALDOSTERONE</v>
          </cell>
        </row>
        <row r="155">
          <cell r="A155" t="str">
            <v>ALK PHOS ISOENZYMES</v>
          </cell>
        </row>
        <row r="156">
          <cell r="A156" t="str">
            <v>ALDOSTERONE/RENIN RATIO</v>
          </cell>
        </row>
        <row r="157">
          <cell r="A157" t="str">
            <v>ALPHA-1 ANTITRYPSIN</v>
          </cell>
        </row>
        <row r="158">
          <cell r="A158" t="str">
            <v>ALPHA-1 AT PHENOTYPE</v>
          </cell>
        </row>
        <row r="159">
          <cell r="A159" t="str">
            <v>AMMONIA</v>
          </cell>
        </row>
        <row r="160">
          <cell r="A160" t="str">
            <v>AMINO ACIDS (PLASMA)</v>
          </cell>
        </row>
        <row r="161">
          <cell r="A161" t="str">
            <v>AMINO ACIDS (URINE)</v>
          </cell>
        </row>
        <row r="162">
          <cell r="A162" t="str">
            <v>AMIODARONE</v>
          </cell>
        </row>
        <row r="163">
          <cell r="A163" t="str">
            <v>AMYLASE (FLUID)</v>
          </cell>
        </row>
        <row r="164">
          <cell r="A164" t="str">
            <v>ANDROSTENEDIONE (BLOOD SPOT)</v>
          </cell>
        </row>
        <row r="165">
          <cell r="A165" t="str">
            <v>ANDROSTENEDIONE (PLASMA)</v>
          </cell>
        </row>
        <row r="166">
          <cell r="A166" t="str">
            <v>BETA CAROTENE</v>
          </cell>
        </row>
        <row r="167">
          <cell r="A167" t="str">
            <v>BILE ACIDS</v>
          </cell>
        </row>
        <row r="168">
          <cell r="A168" t="str">
            <v>BILIRUBIN (URINE)</v>
          </cell>
        </row>
        <row r="169">
          <cell r="A169" t="str">
            <v>BUPRENORPHINE</v>
          </cell>
        </row>
        <row r="170">
          <cell r="A170" t="str">
            <v>C-PEPTIDE</v>
          </cell>
        </row>
        <row r="171">
          <cell r="A171" t="str">
            <v>CA 125</v>
          </cell>
        </row>
        <row r="172">
          <cell r="A172" t="str">
            <v>CA15-3</v>
          </cell>
        </row>
        <row r="173">
          <cell r="A173" t="str">
            <v>CA19-9</v>
          </cell>
        </row>
        <row r="174">
          <cell r="A174" t="str">
            <v>CAERULOPLASMIN</v>
          </cell>
        </row>
        <row r="175">
          <cell r="A175" t="str">
            <v>CALCITONIN</v>
          </cell>
        </row>
        <row r="176">
          <cell r="A176" t="str">
            <v>CALCIUM (URINE)</v>
          </cell>
        </row>
        <row r="177">
          <cell r="A177" t="str">
            <v>CARBOXYHAEMOGLOBIN</v>
          </cell>
        </row>
        <row r="178">
          <cell r="A178" t="str">
            <v>CEA</v>
          </cell>
        </row>
        <row r="179">
          <cell r="A179" t="str">
            <v>CHOLINESTERASE - PHENOTYPE</v>
          </cell>
        </row>
        <row r="180">
          <cell r="A180" t="str">
            <v>CHOLINESTERASE SCREEN</v>
          </cell>
        </row>
        <row r="181">
          <cell r="A181" t="str">
            <v>CHOLINESTERASE RED CELL</v>
          </cell>
        </row>
        <row r="182">
          <cell r="A182" t="str">
            <v>CITRATE (URINE)</v>
          </cell>
        </row>
        <row r="183">
          <cell r="A183" t="str">
            <v>CK-MB</v>
          </cell>
        </row>
        <row r="184">
          <cell r="A184" t="str">
            <v>CORTISOL (BLOOD SPOT)</v>
          </cell>
        </row>
        <row r="185">
          <cell r="A185" t="str">
            <v>CORTISOL (PLASMA)</v>
          </cell>
        </row>
        <row r="186">
          <cell r="A186" t="str">
            <v>CORTISOL (SALIVA)</v>
          </cell>
        </row>
        <row r="187">
          <cell r="A187" t="str">
            <v>CORTISOL (URINE)</v>
          </cell>
        </row>
        <row r="188">
          <cell r="A188" t="str">
            <v>CORTISOL (URINE)</v>
          </cell>
        </row>
        <row r="189">
          <cell r="A189" t="str">
            <v>CORTISONE (PLASMA)</v>
          </cell>
        </row>
        <row r="190">
          <cell r="A190" t="str">
            <v>CORTISONE (URINE)</v>
          </cell>
        </row>
        <row r="191">
          <cell r="A191" t="str">
            <v>COTININE (URINE)</v>
          </cell>
        </row>
        <row r="192">
          <cell r="A192" t="str">
            <v>COTININE (PLASMA)</v>
          </cell>
        </row>
        <row r="193">
          <cell r="A193" t="str">
            <v>CREATININE CLEARANCE</v>
          </cell>
        </row>
        <row r="194">
          <cell r="A194" t="str">
            <v>CREATININE URINE</v>
          </cell>
        </row>
        <row r="195">
          <cell r="A195" t="str">
            <v>CREATININE FLUID</v>
          </cell>
        </row>
        <row r="196">
          <cell r="A196" t="str">
            <v>CICLOSPORIN</v>
          </cell>
        </row>
        <row r="197">
          <cell r="A197" t="str">
            <v>CYSTINE</v>
          </cell>
        </row>
        <row r="198">
          <cell r="A198" t="str">
            <v>DEOXYPYRIDINOLINE (DPD) </v>
          </cell>
        </row>
        <row r="199">
          <cell r="A199" t="str">
            <v>DEOXYPYRIDINOLINE (DPD) </v>
          </cell>
        </row>
        <row r="200">
          <cell r="A200" t="str">
            <v>DHEA-SULPHATE</v>
          </cell>
        </row>
        <row r="201">
          <cell r="A201" t="str">
            <v>DRUG SCREEN</v>
          </cell>
        </row>
        <row r="202">
          <cell r="A202" t="str">
            <v>ETHANOL</v>
          </cell>
        </row>
        <row r="203">
          <cell r="A203" t="str">
            <v>FAECAL ELASTASE</v>
          </cell>
        </row>
        <row r="204">
          <cell r="A204" t="str">
            <v>FAECAL FAT</v>
          </cell>
        </row>
        <row r="205">
          <cell r="A205" t="str">
            <v>FAECAL REDUCING SUBSTANCES</v>
          </cell>
        </row>
        <row r="206">
          <cell r="A206" t="str">
            <v>REDUCING SUBSTANCES (URINE)</v>
          </cell>
        </row>
        <row r="207">
          <cell r="A207" t="str">
            <v>FREE FATTY ACIDS (PLASMA)</v>
          </cell>
        </row>
        <row r="208">
          <cell r="A208" t="str">
            <v>GASES (BLOOD)</v>
          </cell>
        </row>
        <row r="209">
          <cell r="A209" t="str">
            <v>SAMPLE HANDLING CHARGE</v>
          </cell>
        </row>
        <row r="210">
          <cell r="A210" t="str">
            <v>GENTAMICIN</v>
          </cell>
        </row>
        <row r="211">
          <cell r="A211" t="str">
            <v>GLUCOSE(CSF)</v>
          </cell>
        </row>
        <row r="212">
          <cell r="A212" t="str">
            <v>GLUCOSE (FLUID)</v>
          </cell>
        </row>
        <row r="213">
          <cell r="A213" t="str">
            <v>GLYCINE(CSF)</v>
          </cell>
        </row>
        <row r="214">
          <cell r="A214" t="str">
            <v>GROWTH HORMONE (SERUM)</v>
          </cell>
        </row>
        <row r="215">
          <cell r="A215" t="str">
            <v>GROWTH HORMONE (SERUM)</v>
          </cell>
        </row>
        <row r="216">
          <cell r="A216" t="str">
            <v>GUT PERMEABILITY</v>
          </cell>
        </row>
        <row r="217">
          <cell r="A217" t="str">
            <v>HAEM PIGMENTS (CSF)</v>
          </cell>
        </row>
        <row r="218">
          <cell r="A218" t="str">
            <v>HBA1c</v>
          </cell>
        </row>
        <row r="219">
          <cell r="A219" t="str">
            <v>HCG (CSF)</v>
          </cell>
        </row>
        <row r="220">
          <cell r="A220" t="str">
            <v>HOMOCYSTINE</v>
          </cell>
        </row>
        <row r="221">
          <cell r="A221" t="str">
            <v>HYALURONIC ACID</v>
          </cell>
        </row>
        <row r="222">
          <cell r="A222" t="str">
            <v>HYDROXYBUTYRATE</v>
          </cell>
        </row>
        <row r="223">
          <cell r="A223" t="str">
            <v>HYDROXYPROLINE</v>
          </cell>
        </row>
        <row r="224">
          <cell r="A224" t="str">
            <v>INSULIN</v>
          </cell>
        </row>
        <row r="225">
          <cell r="A225" t="str">
            <v>LACTATE (VENOUS PLASMA)</v>
          </cell>
        </row>
        <row r="226">
          <cell r="A226" t="str">
            <v>LDH (FLUID)</v>
          </cell>
        </row>
        <row r="227">
          <cell r="A227" t="str">
            <v>CHOLESTEROL</v>
          </cell>
        </row>
        <row r="228">
          <cell r="A228" t="str">
            <v>HDL CHOLESTEROL</v>
          </cell>
        </row>
        <row r="229">
          <cell r="A229" t="str">
            <v>TRIGLYCERIDES</v>
          </cell>
        </row>
        <row r="230">
          <cell r="A230" t="str">
            <v>APO- LIPOPROTEIN A-1</v>
          </cell>
        </row>
        <row r="231">
          <cell r="A231" t="str">
            <v>APO- LIPOPROTEIN B</v>
          </cell>
        </row>
        <row r="232">
          <cell r="A232" t="str">
            <v>LIPOPROTEIN (a)</v>
          </cell>
        </row>
        <row r="233">
          <cell r="A233" t="str">
            <v>LITHIUM</v>
          </cell>
        </row>
        <row r="234">
          <cell r="A234" t="str">
            <v>MAGNESIUM (RED CELL)</v>
          </cell>
        </row>
        <row r="235">
          <cell r="A235" t="str">
            <v>MAGNESIUM (URINE)</v>
          </cell>
        </row>
        <row r="236">
          <cell r="A236" t="str">
            <v>METHAEMALBUMIN</v>
          </cell>
        </row>
        <row r="237">
          <cell r="A237" t="str">
            <v>METHAEMOGLOBIN</v>
          </cell>
        </row>
        <row r="238">
          <cell r="A238" t="str">
            <v>METHOTREXATE</v>
          </cell>
        </row>
        <row r="239">
          <cell r="A239" t="str">
            <v>MICROSCOPY (FAECAL)</v>
          </cell>
        </row>
        <row r="240">
          <cell r="A240" t="str">
            <v>MUCOPOLYSACCHARIDE SCREEN</v>
          </cell>
        </row>
        <row r="241">
          <cell r="A241" t="str">
            <v>MYOGLOBIN (SERUM)</v>
          </cell>
        </row>
        <row r="242">
          <cell r="A242" t="str">
            <v>MYOGLOBIN (URINE)</v>
          </cell>
        </row>
        <row r="243">
          <cell r="A243" t="str">
            <v>NEUROBLASTOMA SCREEN</v>
          </cell>
        </row>
        <row r="244">
          <cell r="A244" t="str">
            <v>OCCULT BLOOD</v>
          </cell>
        </row>
        <row r="245">
          <cell r="A245" t="str">
            <v>OUT OF HOURS (EMERGENCY)</v>
          </cell>
        </row>
        <row r="246">
          <cell r="A246" t="str">
            <v>ORGANIC ACIDS (URINE)</v>
          </cell>
        </row>
        <row r="247">
          <cell r="A247" t="str">
            <v>AMINO ACIDS (URINE)/ORGANIC ACIDS (URINE)/ </v>
          </cell>
        </row>
        <row r="248">
          <cell r="A248" t="str">
            <v>OROTIC ACID</v>
          </cell>
        </row>
        <row r="249">
          <cell r="A249" t="str">
            <v>OSMOLALITY - URINE</v>
          </cell>
        </row>
        <row r="250">
          <cell r="A250" t="str">
            <v>OSMOLALITY - PLASMA</v>
          </cell>
        </row>
        <row r="251">
          <cell r="A251" t="str">
            <v>OXALATE (TIMED URINE)</v>
          </cell>
        </row>
        <row r="252">
          <cell r="A252" t="str">
            <v>PARAQUAT</v>
          </cell>
        </row>
        <row r="253">
          <cell r="A253" t="str">
            <v>OXALATE (RANDOM URINE)</v>
          </cell>
        </row>
        <row r="254">
          <cell r="A254" t="str">
            <v>PHAEOCHROMOCYTOMA SCREEN</v>
          </cell>
        </row>
        <row r="255">
          <cell r="A255" t="str">
            <v>PENTOBARBITONE</v>
          </cell>
        </row>
        <row r="256">
          <cell r="A256" t="str">
            <v>PHENYLALANINE</v>
          </cell>
        </row>
        <row r="257">
          <cell r="A257" t="str">
            <v>PHENYLALANINE</v>
          </cell>
        </row>
        <row r="258">
          <cell r="A258" t="str">
            <v>PHOSPHATE (URINE)</v>
          </cell>
        </row>
        <row r="259">
          <cell r="A259" t="str">
            <v>PORPHOBILINOGEN</v>
          </cell>
        </row>
        <row r="260">
          <cell r="A260" t="str">
            <v>POTASSIUM (URINE)</v>
          </cell>
        </row>
        <row r="261">
          <cell r="A261" t="str">
            <v>PREGNANCY TEST (URINE)</v>
          </cell>
        </row>
        <row r="262">
          <cell r="A262" t="str">
            <v>P3NP</v>
          </cell>
        </row>
        <row r="263">
          <cell r="A263" t="str">
            <v>PROTEIN CREATINE RATIO (URINE)</v>
          </cell>
        </row>
        <row r="264">
          <cell r="A264" t="str">
            <v>PROTEIN (URINE)</v>
          </cell>
        </row>
        <row r="265">
          <cell r="A265" t="str">
            <v>PROTEIN (CSF)</v>
          </cell>
        </row>
        <row r="266">
          <cell r="A266" t="str">
            <v>PROTEIN (FLUID)</v>
          </cell>
        </row>
        <row r="267">
          <cell r="A267" t="str">
            <v>PTH</v>
          </cell>
        </row>
        <row r="268">
          <cell r="A268" t="str">
            <v>RENIN</v>
          </cell>
        </row>
        <row r="269">
          <cell r="A269" t="str">
            <v>SHBG</v>
          </cell>
        </row>
        <row r="270">
          <cell r="A270" t="str">
            <v>SIROLIMUS</v>
          </cell>
        </row>
        <row r="271">
          <cell r="A271" t="str">
            <v>SODIUM (URINE)</v>
          </cell>
        </row>
        <row r="272">
          <cell r="A272" t="str">
            <v>IGF-1 SOMATOMEDIN C </v>
          </cell>
        </row>
        <row r="273">
          <cell r="A273" t="str">
            <v>STONE ANALYSIS - FTIR</v>
          </cell>
        </row>
        <row r="274">
          <cell r="A274" t="str">
            <v>SUGAR CHROMATOGRAPHY FAECAL</v>
          </cell>
        </row>
        <row r="275">
          <cell r="A275" t="str">
            <v>SUGAR CHROMATOGRAPHY URINE</v>
          </cell>
        </row>
        <row r="276">
          <cell r="A276" t="str">
            <v>SWEAT TEST</v>
          </cell>
        </row>
        <row r="277">
          <cell r="A277" t="str">
            <v>TESTOSTERONE</v>
          </cell>
        </row>
        <row r="278">
          <cell r="A278" t="str">
            <v>THYROGLOBULIN</v>
          </cell>
        </row>
        <row r="279">
          <cell r="A279" t="str">
            <v>THYROGLOBULIN ANTIBODIES</v>
          </cell>
        </row>
        <row r="280">
          <cell r="A280" t="str">
            <v>THYROGLOBULIN TITRE </v>
          </cell>
        </row>
        <row r="281">
          <cell r="A281" t="str">
            <v>TOBRAMYCIN</v>
          </cell>
        </row>
        <row r="282">
          <cell r="A282" t="str">
            <v>TPMT</v>
          </cell>
        </row>
        <row r="283">
          <cell r="A283" t="str">
            <v>TROPONIN - I</v>
          </cell>
        </row>
        <row r="284">
          <cell r="A284" t="str">
            <v>URINE  ANALYSIS</v>
          </cell>
        </row>
        <row r="285">
          <cell r="A285" t="str">
            <v>UREA (URINE)</v>
          </cell>
        </row>
        <row r="286">
          <cell r="A286" t="str">
            <v>URATE (URINE)</v>
          </cell>
        </row>
        <row r="287">
          <cell r="A287" t="str">
            <v>UROBILINOGEN</v>
          </cell>
        </row>
        <row r="288">
          <cell r="A288" t="str">
            <v>UROPORPHYRIN</v>
          </cell>
        </row>
        <row r="289">
          <cell r="A289" t="str">
            <v>VANCOMYCIN</v>
          </cell>
        </row>
        <row r="290">
          <cell r="A290" t="str">
            <v>VITAMIN A (PLASMA)</v>
          </cell>
        </row>
        <row r="291">
          <cell r="A291" t="str">
            <v>VITAMIN A &amp; E (PLASMA)</v>
          </cell>
        </row>
        <row r="292">
          <cell r="A292" t="str">
            <v>VITAMIN C</v>
          </cell>
        </row>
        <row r="293">
          <cell r="A293" t="str">
            <v>VITAMIN D (25OHCC)</v>
          </cell>
        </row>
        <row r="294">
          <cell r="A294" t="str">
            <v>TACROLIMUS</v>
          </cell>
        </row>
        <row r="295">
          <cell r="A295" t="str">
            <v>VITAMIN D (25OHCC)</v>
          </cell>
        </row>
        <row r="296">
          <cell r="A296" t="str">
            <v>VITAMIN E (PLASMA)</v>
          </cell>
        </row>
        <row r="297">
          <cell r="A297" t="str">
            <v>VITAMINS A E &amp; D IGF1</v>
          </cell>
        </row>
        <row r="298">
          <cell r="A298" t="str">
            <v>DOXEPIN</v>
          </cell>
        </row>
        <row r="299">
          <cell r="A299" t="str">
            <v>CYSTINE / CREATININE</v>
          </cell>
        </row>
        <row r="300">
          <cell r="A300" t="str">
            <v>TSH RECEPTOR ANTIBODIES</v>
          </cell>
        </row>
        <row r="301">
          <cell r="A301" t="str">
            <v>Clinical Biochemistry</v>
          </cell>
        </row>
        <row r="302">
          <cell r="A302" t="str">
            <v>RENAL PROFILE</v>
          </cell>
        </row>
        <row r="303">
          <cell r="A303" t="str">
            <v>BONE PROFILE</v>
          </cell>
        </row>
        <row r="304">
          <cell r="A304" t="str">
            <v>LIVER PROFILE</v>
          </cell>
        </row>
        <row r="305">
          <cell r="A305" t="str">
            <v>TPN PROFILE</v>
          </cell>
        </row>
        <row r="306">
          <cell r="A306" t="str">
            <v>AFP</v>
          </cell>
        </row>
        <row r="307">
          <cell r="A307" t="str">
            <v>AMYLASE</v>
          </cell>
        </row>
        <row r="308">
          <cell r="A308" t="str">
            <v>AST</v>
          </cell>
        </row>
        <row r="309">
          <cell r="A309" t="str">
            <v>BICARBONATE</v>
          </cell>
        </row>
        <row r="310">
          <cell r="A310" t="str">
            <v>BILIRUBIN - DIRECT</v>
          </cell>
        </row>
        <row r="311">
          <cell r="A311" t="str">
            <v>BILIRUBIN - NEONATAL</v>
          </cell>
        </row>
        <row r="312">
          <cell r="A312" t="str">
            <v>CARBAMAZEPINE</v>
          </cell>
        </row>
        <row r="313">
          <cell r="A313" t="str">
            <v>CHLORIDE</v>
          </cell>
        </row>
        <row r="314">
          <cell r="A314" t="str">
            <v>CHOLESTEROL</v>
          </cell>
        </row>
        <row r="315">
          <cell r="A315" t="str">
            <v>CK</v>
          </cell>
        </row>
        <row r="316">
          <cell r="A316" t="str">
            <v>C-REACTIVE PROTEIN</v>
          </cell>
        </row>
        <row r="317">
          <cell r="A317" t="str">
            <v>DIGOXIN</v>
          </cell>
        </row>
        <row r="318">
          <cell r="A318" t="str">
            <v>FERRITIN</v>
          </cell>
        </row>
        <row r="319">
          <cell r="A319" t="str">
            <v>FOLATE (PLASMA)</v>
          </cell>
        </row>
        <row r="320">
          <cell r="A320" t="str">
            <v>FREE T3</v>
          </cell>
        </row>
        <row r="321">
          <cell r="A321" t="str">
            <v>FREE T4</v>
          </cell>
        </row>
        <row r="322">
          <cell r="A322" t="str">
            <v>FSH</v>
          </cell>
        </row>
        <row r="323">
          <cell r="A323" t="str">
            <v>GAMMA GT</v>
          </cell>
        </row>
        <row r="324">
          <cell r="A324" t="str">
            <v>GLUCOSE</v>
          </cell>
        </row>
        <row r="325">
          <cell r="A325" t="str">
            <v>hCG </v>
          </cell>
        </row>
        <row r="326">
          <cell r="A326" t="str">
            <v>HDL CHOLESTEROL</v>
          </cell>
        </row>
        <row r="327">
          <cell r="A327" t="str">
            <v>IRON</v>
          </cell>
        </row>
        <row r="328">
          <cell r="A328" t="str">
            <v>LDH</v>
          </cell>
        </row>
        <row r="329">
          <cell r="A329" t="str">
            <v>LH</v>
          </cell>
        </row>
        <row r="330">
          <cell r="A330" t="str">
            <v>MAGNESIUM</v>
          </cell>
        </row>
        <row r="331">
          <cell r="A331" t="str">
            <v>OESTRADIOL</v>
          </cell>
        </row>
        <row r="332">
          <cell r="A332" t="str">
            <v>PARACETAMOL</v>
          </cell>
        </row>
        <row r="333">
          <cell r="A333" t="str">
            <v>PHENOBARBITONE</v>
          </cell>
        </row>
        <row r="334">
          <cell r="A334" t="str">
            <v>PHENYTOIN</v>
          </cell>
        </row>
        <row r="335">
          <cell r="A335" t="str">
            <v>PHOSPHATE</v>
          </cell>
        </row>
        <row r="336">
          <cell r="A336" t="str">
            <v>PROGESTERONE</v>
          </cell>
        </row>
        <row r="337">
          <cell r="A337" t="str">
            <v>PROLACTIN</v>
          </cell>
        </row>
        <row r="338">
          <cell r="A338" t="str">
            <v>PSA</v>
          </cell>
        </row>
        <row r="339">
          <cell r="A339" t="str">
            <v>SALICYLATE</v>
          </cell>
        </row>
        <row r="340">
          <cell r="A340" t="str">
            <v>THEOPHYLLINE</v>
          </cell>
        </row>
        <row r="341">
          <cell r="A341" t="str">
            <v>TRANSFERRIN</v>
          </cell>
        </row>
        <row r="342">
          <cell r="A342" t="str">
            <v>TRIGLYCERIDES</v>
          </cell>
        </row>
        <row r="343">
          <cell r="A343" t="str">
            <v>TROPONIN - I</v>
          </cell>
        </row>
        <row r="344">
          <cell r="A344" t="str">
            <v>TSH</v>
          </cell>
        </row>
        <row r="345">
          <cell r="A345" t="str">
            <v>URATE</v>
          </cell>
        </row>
        <row r="346">
          <cell r="A346" t="str">
            <v>VALPROATE</v>
          </cell>
        </row>
        <row r="347">
          <cell r="A347" t="str">
            <v>VITAMIN B 12</v>
          </cell>
        </row>
        <row r="348">
          <cell r="A348" t="str">
            <v>Trace Elements</v>
          </cell>
        </row>
        <row r="349">
          <cell r="A349" t="str">
            <v>ALUMINIUM (OTHER)</v>
          </cell>
        </row>
        <row r="350">
          <cell r="A350" t="str">
            <v>ALUMINIUM (PLASMA)</v>
          </cell>
        </row>
        <row r="351">
          <cell r="A351" t="str">
            <v>ALUMINIUM (URINE)</v>
          </cell>
        </row>
        <row r="352">
          <cell r="A352" t="str">
            <v>ANTIMONY (BLOOD)</v>
          </cell>
        </row>
        <row r="353">
          <cell r="A353" t="str">
            <v>ANTIMONY (not reported)</v>
          </cell>
        </row>
        <row r="354">
          <cell r="A354" t="str">
            <v>ANTIMONY (OTHER)</v>
          </cell>
        </row>
        <row r="355">
          <cell r="A355" t="str">
            <v>ANTIMONY (PLASMA)</v>
          </cell>
        </row>
        <row r="356">
          <cell r="A356" t="str">
            <v>ANTIMONY (URINE)</v>
          </cell>
        </row>
        <row r="357">
          <cell r="A357" t="str">
            <v>ARSENIC (BLOOD)</v>
          </cell>
        </row>
        <row r="358">
          <cell r="A358" t="str">
            <v>ARSENIC (OTHER)</v>
          </cell>
        </row>
        <row r="359">
          <cell r="A359" t="str">
            <v>ARSENIC (URINE)</v>
          </cell>
        </row>
        <row r="360">
          <cell r="A360" t="str">
            <v>BARIUM (OTHER)</v>
          </cell>
        </row>
        <row r="361">
          <cell r="A361" t="str">
            <v>BARIUM (PLASMA)</v>
          </cell>
        </row>
        <row r="362">
          <cell r="A362" t="str">
            <v>BARIUM (URINE)</v>
          </cell>
        </row>
        <row r="363">
          <cell r="A363" t="str">
            <v>BERYLLIUM (OTHER)</v>
          </cell>
        </row>
        <row r="364">
          <cell r="A364" t="str">
            <v>BERYLLIUM (PLASMA)</v>
          </cell>
        </row>
        <row r="365">
          <cell r="A365" t="str">
            <v>BERYLLIUM (URINE)</v>
          </cell>
        </row>
        <row r="366">
          <cell r="A366" t="str">
            <v>BISMUTH (BLOOD)</v>
          </cell>
        </row>
        <row r="367">
          <cell r="A367" t="str">
            <v>BISMUTH (OTHER)</v>
          </cell>
        </row>
        <row r="368">
          <cell r="A368" t="str">
            <v>BISMUTH (URINE)</v>
          </cell>
        </row>
        <row r="369">
          <cell r="A369" t="str">
            <v>BORON  (PLASMA)</v>
          </cell>
        </row>
        <row r="370">
          <cell r="A370" t="str">
            <v>BORON (URINE)</v>
          </cell>
        </row>
        <row r="371">
          <cell r="A371" t="str">
            <v>CADMIUM (BLOOD)</v>
          </cell>
        </row>
        <row r="372">
          <cell r="A372" t="str">
            <v>CADMIUM (none reportable)</v>
          </cell>
        </row>
        <row r="373">
          <cell r="A373" t="str">
            <v>CADMIUM (OTHER)</v>
          </cell>
        </row>
        <row r="374">
          <cell r="A374" t="str">
            <v>CADMIUM (URINE)</v>
          </cell>
        </row>
        <row r="375">
          <cell r="A375" t="str">
            <v>CHROMIUM (BLOOD)</v>
          </cell>
        </row>
        <row r="376">
          <cell r="A376" t="str">
            <v>CHROMIUM (non report)</v>
          </cell>
        </row>
        <row r="377">
          <cell r="A377" t="str">
            <v>CHROMIUM (OTHER)</v>
          </cell>
        </row>
        <row r="378">
          <cell r="A378" t="str">
            <v>CHROMIUM (PLASMA)</v>
          </cell>
        </row>
        <row r="379">
          <cell r="A379" t="str">
            <v>CHROMIUM (URINE)</v>
          </cell>
        </row>
        <row r="380">
          <cell r="A380" t="str">
            <v>COBALT (BLOOD)</v>
          </cell>
        </row>
        <row r="381">
          <cell r="A381" t="str">
            <v>COBALT (OTHER)</v>
          </cell>
        </row>
        <row r="382">
          <cell r="A382" t="str">
            <v>COBALT (PLASMA)</v>
          </cell>
        </row>
        <row r="383">
          <cell r="A383" t="str">
            <v>COBALT (URINE)</v>
          </cell>
        </row>
        <row r="384">
          <cell r="A384" t="str">
            <v>COPPER</v>
          </cell>
        </row>
        <row r="385">
          <cell r="A385" t="str">
            <v>COPPER (24 HOUR URINE)</v>
          </cell>
        </row>
        <row r="386">
          <cell r="A386" t="str">
            <v>COPPER (LIVER)</v>
          </cell>
        </row>
        <row r="387">
          <cell r="A387" t="str">
            <v>COPPER (OTHER)</v>
          </cell>
        </row>
        <row r="388">
          <cell r="A388" t="str">
            <v>COPPER (PLASMA)</v>
          </cell>
        </row>
        <row r="389">
          <cell r="A389" t="str">
            <v>COPPER (URINE)</v>
          </cell>
        </row>
        <row r="390">
          <cell r="A390" t="str">
            <v>GOLD (OTHER)</v>
          </cell>
        </row>
        <row r="391">
          <cell r="A391" t="str">
            <v>GOLD (PLASMA)</v>
          </cell>
        </row>
        <row r="392">
          <cell r="A392" t="str">
            <v>GOLD (URINE)</v>
          </cell>
        </row>
        <row r="393">
          <cell r="A393" t="str">
            <v>IODINE</v>
          </cell>
        </row>
        <row r="394">
          <cell r="A394" t="str">
            <v>IODINE (PLASMA)</v>
          </cell>
        </row>
        <row r="395">
          <cell r="A395" t="str">
            <v>IRON (LIVER)</v>
          </cell>
        </row>
        <row r="396">
          <cell r="A396" t="str">
            <v>IRON (OTHER)</v>
          </cell>
        </row>
        <row r="397">
          <cell r="A397" t="str">
            <v>IRON (URINE)</v>
          </cell>
        </row>
        <row r="398">
          <cell r="A398" t="str">
            <v>LEAD (BLOOD)</v>
          </cell>
        </row>
        <row r="399">
          <cell r="A399" t="str">
            <v>LEAD (non reportable)</v>
          </cell>
        </row>
        <row r="400">
          <cell r="A400" t="str">
            <v>LEAD (OTHER)</v>
          </cell>
        </row>
        <row r="401">
          <cell r="A401" t="str">
            <v>LEAD (URINE)</v>
          </cell>
        </row>
        <row r="402">
          <cell r="A402" t="str">
            <v>MANGANESE (BLOOD)</v>
          </cell>
        </row>
        <row r="403">
          <cell r="A403" t="str">
            <v>MANGANESE (OTHER)</v>
          </cell>
        </row>
        <row r="404">
          <cell r="A404" t="str">
            <v>MANGANESE (URINE)</v>
          </cell>
        </row>
        <row r="405">
          <cell r="A405" t="str">
            <v>MERCURY (BLOOD)</v>
          </cell>
        </row>
        <row r="406">
          <cell r="A406" t="str">
            <v>MERCURY (OTHER)</v>
          </cell>
        </row>
        <row r="407">
          <cell r="A407" t="str">
            <v>MERCURY (URINE)</v>
          </cell>
        </row>
        <row r="408">
          <cell r="A408" t="str">
            <v>MOLYBDENUM (BLOOD)</v>
          </cell>
        </row>
        <row r="409">
          <cell r="A409" t="str">
            <v>MOLYBDENUM (OTHER)</v>
          </cell>
        </row>
        <row r="410">
          <cell r="A410" t="str">
            <v>MOLYBDENUM (PLASMA)</v>
          </cell>
        </row>
        <row r="411">
          <cell r="A411" t="str">
            <v>MOLYBDENUM (URINE)</v>
          </cell>
        </row>
        <row r="412">
          <cell r="A412" t="str">
            <v>NICKEL (OTHER)</v>
          </cell>
        </row>
        <row r="413">
          <cell r="A413" t="str">
            <v>NICKEL (PLASMA)</v>
          </cell>
        </row>
        <row r="414">
          <cell r="A414" t="str">
            <v>NICKEL (URINE)</v>
          </cell>
        </row>
        <row r="415">
          <cell r="A415" t="str">
            <v>PLATINUM (BLOOD)</v>
          </cell>
        </row>
        <row r="416">
          <cell r="A416" t="str">
            <v>PLATINUM (OTHER)</v>
          </cell>
        </row>
        <row r="417">
          <cell r="A417" t="str">
            <v>PLATINUM (URINE)</v>
          </cell>
        </row>
        <row r="418">
          <cell r="A418" t="str">
            <v>SELENIUM</v>
          </cell>
        </row>
        <row r="419">
          <cell r="A419" t="str">
            <v>SELENIUM  (PLASMA)</v>
          </cell>
        </row>
        <row r="420">
          <cell r="A420" t="str">
            <v>SELENIUM (OTHER)</v>
          </cell>
        </row>
        <row r="421">
          <cell r="A421" t="str">
            <v>SELENIUM (URINE)</v>
          </cell>
        </row>
        <row r="422">
          <cell r="A422" t="str">
            <v>SILICON (OTHER)</v>
          </cell>
        </row>
        <row r="423">
          <cell r="A423" t="str">
            <v>SILICON (PLASMA)</v>
          </cell>
        </row>
        <row r="424">
          <cell r="A424" t="str">
            <v>SILICON (URINE)</v>
          </cell>
        </row>
        <row r="425">
          <cell r="A425" t="str">
            <v>SILVER </v>
          </cell>
        </row>
        <row r="426">
          <cell r="A426" t="str">
            <v>SILVER (BLOOD)</v>
          </cell>
        </row>
        <row r="427">
          <cell r="A427" t="str">
            <v>SILVER (OTHER)</v>
          </cell>
        </row>
        <row r="428">
          <cell r="A428" t="str">
            <v>SILVER (URINE)</v>
          </cell>
        </row>
        <row r="429">
          <cell r="A429" t="str">
            <v>STRONTIUM (OTHER)</v>
          </cell>
        </row>
        <row r="430">
          <cell r="A430" t="str">
            <v>STRONTIUM (PLASMA)</v>
          </cell>
        </row>
        <row r="431">
          <cell r="A431" t="str">
            <v>STRONTIUM (URINE)</v>
          </cell>
        </row>
        <row r="432">
          <cell r="A432" t="str">
            <v>TELLURIUM (BLOOD)</v>
          </cell>
        </row>
        <row r="433">
          <cell r="A433" t="str">
            <v>TELLURIUM (OTHER)</v>
          </cell>
        </row>
        <row r="434">
          <cell r="A434" t="str">
            <v>TELLURIUM (PLASMA)</v>
          </cell>
        </row>
        <row r="435">
          <cell r="A435" t="str">
            <v>TELLURIUM (URINE)</v>
          </cell>
        </row>
        <row r="436">
          <cell r="A436" t="str">
            <v>THALLIUM (BLOOD)</v>
          </cell>
        </row>
        <row r="437">
          <cell r="A437" t="str">
            <v>THALLIUM (URINE)</v>
          </cell>
        </row>
        <row r="438">
          <cell r="A438" t="str">
            <v>TIN (BLOOD)</v>
          </cell>
        </row>
        <row r="439">
          <cell r="A439" t="str">
            <v>TIN (OTHER)</v>
          </cell>
        </row>
        <row r="440">
          <cell r="A440" t="str">
            <v>TIN (PLASMA)</v>
          </cell>
        </row>
        <row r="441">
          <cell r="A441" t="str">
            <v>TIN (URINE)</v>
          </cell>
        </row>
        <row r="442">
          <cell r="A442" t="str">
            <v>TITANIUM (OTHER)</v>
          </cell>
        </row>
        <row r="443">
          <cell r="A443" t="str">
            <v>TITANIUM (PLASMA)</v>
          </cell>
        </row>
        <row r="444">
          <cell r="A444" t="str">
            <v>TITANIUM (URINE)</v>
          </cell>
        </row>
        <row r="445">
          <cell r="A445" t="str">
            <v>TUNGSTEN (PLASMA)</v>
          </cell>
        </row>
        <row r="446">
          <cell r="A446" t="str">
            <v>TUNGSTEN (URINE)</v>
          </cell>
        </row>
        <row r="447">
          <cell r="A447" t="str">
            <v>URANIUM (URINE not reported)</v>
          </cell>
        </row>
        <row r="448">
          <cell r="A448" t="str">
            <v>URANIUM (URINE)</v>
          </cell>
        </row>
        <row r="449">
          <cell r="A449" t="str">
            <v>VANADIUM (OTHER)</v>
          </cell>
        </row>
        <row r="450">
          <cell r="A450" t="str">
            <v>VANADIUM (PLASMA)</v>
          </cell>
        </row>
        <row r="451">
          <cell r="A451" t="str">
            <v>VANADIUM (URINE)</v>
          </cell>
        </row>
        <row r="452">
          <cell r="A452" t="str">
            <v>ZINC (BLOOD)</v>
          </cell>
        </row>
        <row r="453">
          <cell r="A453" t="str">
            <v>ZINC (OTHER)</v>
          </cell>
        </row>
        <row r="454">
          <cell r="A454" t="str">
            <v>ZINC (PLASMA)</v>
          </cell>
        </row>
        <row r="455">
          <cell r="A455" t="str">
            <v>ZINC (URINE)</v>
          </cell>
        </row>
        <row r="456">
          <cell r="A456" t="str">
            <v>COBALT &amp; CHROMIUM (BLOOD)</v>
          </cell>
        </row>
        <row r="457">
          <cell r="A457" t="str">
            <v>COBALT &amp; CHROMIUM (PLASMA)</v>
          </cell>
        </row>
        <row r="458">
          <cell r="A458" t="str">
            <v>COPPER + ZINC (PLASMA)</v>
          </cell>
        </row>
        <row r="459">
          <cell r="A459" t="str">
            <v>COPPER + ZINC + SELENIUM (PLASMA)</v>
          </cell>
        </row>
        <row r="460">
          <cell r="A460" t="str">
            <v>COPPER + ZINC + SELENIUM (PLASMA)</v>
          </cell>
        </row>
        <row r="461">
          <cell r="A461" t="str">
            <v>TOXIC SCREEN (ALL METALS (BLOOD/URIINE)</v>
          </cell>
        </row>
        <row r="462">
          <cell r="A462" t="str">
            <v>TOXIC SCREEN (ALL METALS (BLOOD/URIINE)</v>
          </cell>
        </row>
        <row r="463">
          <cell r="A463" t="str">
            <v>LEAD ISOTOPES RATIO (BLOOD/SOURCES OF LEAD)</v>
          </cell>
        </row>
        <row r="464">
          <cell r="A464" t="str">
            <v>HAEMATOLOGY</v>
          </cell>
        </row>
        <row r="465">
          <cell r="A465" t="str">
            <v>FULL BLOOD COUNT</v>
          </cell>
        </row>
        <row r="466">
          <cell r="A466" t="str">
            <v>FILM</v>
          </cell>
        </row>
        <row r="467">
          <cell r="A467" t="str">
            <v>ESR</v>
          </cell>
        </row>
        <row r="468">
          <cell r="A468" t="str">
            <v>MALARIAL SCREEN</v>
          </cell>
        </row>
        <row r="469">
          <cell r="A469" t="str">
            <v>IM SCREEN</v>
          </cell>
        </row>
        <row r="470">
          <cell r="A470" t="str">
            <v>CLOTTING SCREEN</v>
          </cell>
        </row>
        <row r="471">
          <cell r="A471" t="str">
            <v>ACTIVATED PARTIAL THROMBOPLASTIN TIME</v>
          </cell>
        </row>
        <row r="472">
          <cell r="A472" t="str">
            <v>INR - INTERNATIONAL NORMALISED RATIO</v>
          </cell>
        </row>
        <row r="473">
          <cell r="A473" t="str">
            <v>D-DIMER ASSAY</v>
          </cell>
        </row>
        <row r="474">
          <cell r="A474" t="str">
            <v>HAEMOGLOBIN ELECTROPHORESIS (HPLC)</v>
          </cell>
        </row>
        <row r="475">
          <cell r="A475" t="str">
            <v>ABSOLUTE RETICULOCYTES</v>
          </cell>
        </row>
        <row r="476">
          <cell r="A476" t="str">
            <v>ACID ELUTION (EOSIN)</v>
          </cell>
        </row>
        <row r="477">
          <cell r="A477" t="str">
            <v>ACID ELUTION (GEIMSA)</v>
          </cell>
        </row>
        <row r="478">
          <cell r="A478" t="str">
            <v>AGAR GEL ELECTROPHORESIS</v>
          </cell>
        </row>
        <row r="479">
          <cell r="A479" t="str">
            <v>ASCITIC FLUID WHITW COUNT</v>
          </cell>
        </row>
        <row r="480">
          <cell r="A480" t="str">
            <v>AUTOHAEMOLOGYSIS</v>
          </cell>
        </row>
        <row r="481">
          <cell r="A481" t="str">
            <v>AUTOHAEMOLOGYSIS (GLUCOSE)</v>
          </cell>
        </row>
        <row r="482">
          <cell r="A482" t="str">
            <v>BONE MARROW PROCESSING</v>
          </cell>
        </row>
        <row r="483">
          <cell r="A483" t="str">
            <v>BONE MARROW TREPHINE PROCESSING</v>
          </cell>
        </row>
        <row r="484">
          <cell r="A484" t="str">
            <v>CHEMILUMINESCENCE TEST (NBS)</v>
          </cell>
        </row>
        <row r="485">
          <cell r="A485" t="str">
            <v>CITRATE KAOLIN TEG</v>
          </cell>
        </row>
        <row r="486">
          <cell r="A486" t="str">
            <v>CYTOSPIN</v>
          </cell>
        </row>
        <row r="487">
          <cell r="A487" t="str">
            <v>D EPITOPES</v>
          </cell>
        </row>
        <row r="488">
          <cell r="A488" t="str">
            <v>DIFFERENTIAL COUNT (MANUAL)</v>
          </cell>
        </row>
        <row r="489">
          <cell r="A489" t="str">
            <v>DOUBLE ESTERASE</v>
          </cell>
        </row>
        <row r="490">
          <cell r="A490" t="str">
            <v>FBC (RSH)</v>
          </cell>
        </row>
        <row r="491">
          <cell r="A491" t="str">
            <v>G6PD ASSAY</v>
          </cell>
        </row>
        <row r="492">
          <cell r="A492" t="str">
            <v>G6PD SCREEN</v>
          </cell>
        </row>
        <row r="493">
          <cell r="A493" t="str">
            <v>GENOTYPE</v>
          </cell>
        </row>
        <row r="494">
          <cell r="A494" t="str">
            <v>GLOBULIN CHAIN ELECTROPHORESIS</v>
          </cell>
        </row>
        <row r="495">
          <cell r="A495" t="str">
            <v>GLUTATHIONE ASSAY</v>
          </cell>
        </row>
        <row r="496">
          <cell r="A496" t="str">
            <v>HAEMOGLOBIN A2 ASSAY</v>
          </cell>
        </row>
        <row r="497">
          <cell r="A497" t="str">
            <v>HAEMOGLOBIN C ASSAY</v>
          </cell>
        </row>
        <row r="498">
          <cell r="A498" t="str">
            <v>HAEMOGLOBIN D ASSAY</v>
          </cell>
        </row>
        <row r="499">
          <cell r="A499" t="str">
            <v>HAEMOGLOBIN E ASSAY</v>
          </cell>
        </row>
        <row r="500">
          <cell r="A500" t="str">
            <v>HAEMOGLOBIN F ASSAY</v>
          </cell>
        </row>
        <row r="501">
          <cell r="A501" t="str">
            <v>HAEMOGLOBIN H BODIES</v>
          </cell>
        </row>
        <row r="502">
          <cell r="A502" t="str">
            <v>HAEMOGLOBIN S ASSAY</v>
          </cell>
        </row>
        <row r="503">
          <cell r="A503" t="str">
            <v>HAMM'S TEST</v>
          </cell>
        </row>
        <row r="504">
          <cell r="A504" t="str">
            <v>HEINZ BODIES</v>
          </cell>
        </row>
        <row r="505">
          <cell r="A505" t="str">
            <v>MALARIAL KIT</v>
          </cell>
        </row>
        <row r="506">
          <cell r="A506" t="str">
            <v>OSMOTIC FRAGILITY (FRESH)</v>
          </cell>
        </row>
        <row r="507">
          <cell r="A507" t="str">
            <v>OSMOTIC FRAGILITY (INCUBATED)</v>
          </cell>
        </row>
        <row r="508">
          <cell r="A508" t="str">
            <v>PLEURAL ASPIRATE</v>
          </cell>
        </row>
        <row r="509">
          <cell r="A509" t="str">
            <v>PYRUVATE KINASE SCREEN</v>
          </cell>
        </row>
        <row r="510">
          <cell r="A510" t="str">
            <v>RED CELL PORPHYRINS</v>
          </cell>
        </row>
        <row r="511">
          <cell r="A511" t="str">
            <v>SHUMM'S TEST</v>
          </cell>
        </row>
        <row r="512">
          <cell r="A512" t="str">
            <v>SICKLE SCREEN (confirm sickledex)</v>
          </cell>
        </row>
        <row r="513">
          <cell r="A513" t="str">
            <v>SOLUBLE TRANSFERIN RECEPTOR</v>
          </cell>
        </row>
        <row r="514">
          <cell r="A514" t="str">
            <v>SUDAN BLACK STAIN</v>
          </cell>
        </row>
        <row r="515">
          <cell r="A515" t="str">
            <v>URINARY HAEMOSIDERIN /IRON STAIN</v>
          </cell>
        </row>
        <row r="516">
          <cell r="A516" t="str">
            <v>ANTITHROMBIN III ASSAY</v>
          </cell>
        </row>
        <row r="517">
          <cell r="A517" t="str">
            <v>APTR (50:50 CORRECTION)</v>
          </cell>
        </row>
        <row r="518">
          <cell r="A518" t="str">
            <v>BLEEDING TIME (IN VITRO)</v>
          </cell>
        </row>
        <row r="519">
          <cell r="A519" t="str">
            <v>BLEEDING TIME (IN VIVO)</v>
          </cell>
        </row>
        <row r="520">
          <cell r="A520" t="str">
            <v>FACTOR II ASSAY</v>
          </cell>
        </row>
        <row r="521">
          <cell r="A521" t="str">
            <v>FACTOR IX ASSAY</v>
          </cell>
        </row>
        <row r="522">
          <cell r="A522" t="str">
            <v>FACTOR IX INHIBITOR ASSAY (if this is inhib assay price is very wrong)</v>
          </cell>
        </row>
        <row r="523">
          <cell r="A523" t="str">
            <v>FACTOR V ASSAY</v>
          </cell>
        </row>
        <row r="524">
          <cell r="A524" t="str">
            <v>FACTOR VII ASSAY</v>
          </cell>
        </row>
        <row r="525">
          <cell r="A525" t="str">
            <v>FACTOR VIII ASSAY</v>
          </cell>
        </row>
        <row r="526">
          <cell r="A526" t="str">
            <v>FACTOR VIII INHIBITOR (if this is inhib assay -price is very wrong)</v>
          </cell>
        </row>
        <row r="527">
          <cell r="A527" t="str">
            <v>FACTOR X ASSAY</v>
          </cell>
        </row>
        <row r="528">
          <cell r="A528" t="str">
            <v>FACTOR XI ASSAY</v>
          </cell>
        </row>
        <row r="529">
          <cell r="A529" t="str">
            <v>FACTOR XII ASSAY</v>
          </cell>
        </row>
        <row r="530">
          <cell r="A530" t="str">
            <v>FACTOR XIII ASSAY</v>
          </cell>
        </row>
        <row r="531">
          <cell r="A531" t="str">
            <v>FACTOR XIII SCREEN</v>
          </cell>
        </row>
        <row r="532">
          <cell r="A532" t="str">
            <v>FIBRIN DEGRADATION PRODUCTS</v>
          </cell>
        </row>
        <row r="533">
          <cell r="A533" t="str">
            <v>FIBRINOGEN (ANTIGEN)</v>
          </cell>
        </row>
        <row r="534">
          <cell r="A534" t="str">
            <v>HEPARIN</v>
          </cell>
        </row>
        <row r="535">
          <cell r="A535" t="str">
            <v>HEPARIN ANTI-Xa ASSAY</v>
          </cell>
        </row>
        <row r="536">
          <cell r="A536" t="str">
            <v>INHIBITOR SCREEN</v>
          </cell>
        </row>
        <row r="537">
          <cell r="A537" t="str">
            <v>INR (50:50 CORRECTION)</v>
          </cell>
        </row>
        <row r="538">
          <cell r="A538" t="str">
            <v>LUPUS-LIKE ANTOCOAGULANT</v>
          </cell>
        </row>
        <row r="539">
          <cell r="A539" t="str">
            <v>PLASMINOGEN ASSAY</v>
          </cell>
        </row>
        <row r="540">
          <cell r="A540" t="str">
            <v>PLASMONOGEN ACTIVATOR INHIBITOR</v>
          </cell>
        </row>
        <row r="541">
          <cell r="A541" t="str">
            <v>PLATELET FUNCTION ANALYSIS (PFA100)</v>
          </cell>
        </row>
        <row r="542">
          <cell r="A542" t="str">
            <v>PLATLET AGGREGATION &amp; RISTOCETIN INDUCED PLATLET AGGREGATION</v>
          </cell>
        </row>
        <row r="543">
          <cell r="A543" t="str">
            <v>POST-OCCLUSION PLASMINOGEN ACTIVATOR ASSAY</v>
          </cell>
        </row>
        <row r="544">
          <cell r="A544" t="str">
            <v>PRE-OCCLUSION PLASMINOGEN ACTIVATOR ASSAY</v>
          </cell>
        </row>
        <row r="545">
          <cell r="A545" t="str">
            <v>PROTEIN C ASSAY</v>
          </cell>
        </row>
        <row r="546">
          <cell r="A546" t="str">
            <v>PROTEIN S (FREE ANTIGEN)</v>
          </cell>
        </row>
        <row r="547">
          <cell r="A547" t="str">
            <v>RISTIOCETIN CO-FACTOR ASSAY</v>
          </cell>
        </row>
        <row r="548">
          <cell r="A548" t="str">
            <v>RUSSEL VIPER VENOM ASSAY (WAS KCT)</v>
          </cell>
        </row>
        <row r="549">
          <cell r="A549" t="str">
            <v>THROMBIN TIME</v>
          </cell>
        </row>
        <row r="550">
          <cell r="A550" t="str">
            <v>VWF ACTIVITY</v>
          </cell>
        </row>
        <row r="551">
          <cell r="A551" t="str">
            <v>VWF ANTIGEN</v>
          </cell>
        </row>
        <row r="552">
          <cell r="A552" t="str">
            <v>VWF MULTIMER BANDING (sent to Basingstoke)</v>
          </cell>
        </row>
        <row r="553">
          <cell r="A553" t="str">
            <v>WARFARIN</v>
          </cell>
        </row>
        <row r="554">
          <cell r="A554" t="str">
            <v>WARFARIN + HEPARIN</v>
          </cell>
        </row>
        <row r="555">
          <cell r="A555" t="str">
            <v>AUTOMATED GROUP &amp; SCREEN</v>
          </cell>
        </row>
        <row r="556">
          <cell r="A556" t="str">
            <v>BLOOD GROUP (AUTOMATED)</v>
          </cell>
        </row>
        <row r="557">
          <cell r="A557" t="str">
            <v>ANTIBODY SCREEN (AUTOMATED)</v>
          </cell>
        </row>
        <row r="558">
          <cell r="A558" t="str">
            <v>ELECTRONIC CROSS MATCH</v>
          </cell>
        </row>
        <row r="559">
          <cell r="A559" t="str">
            <v>ELECTRONIC CROSS MATCH</v>
          </cell>
        </row>
        <row r="560">
          <cell r="A560" t="str">
            <v>ELECTRONIC CROSS MATCH</v>
          </cell>
        </row>
        <row r="561">
          <cell r="A561" t="str">
            <v>ELECTRONIC CROSS MATCH</v>
          </cell>
        </row>
        <row r="562">
          <cell r="A562" t="str">
            <v>ELECTRONIC CROSS MATCH</v>
          </cell>
        </row>
        <row r="563">
          <cell r="A563" t="str">
            <v>ELECTRONIC CROSS MATCH</v>
          </cell>
        </row>
        <row r="564">
          <cell r="A564" t="str">
            <v>50:50 PLASMA NEUTRALISATION</v>
          </cell>
        </row>
        <row r="565">
          <cell r="A565" t="str">
            <v>ACID ELUTION</v>
          </cell>
        </row>
        <row r="566">
          <cell r="A566" t="str">
            <v>AET</v>
          </cell>
        </row>
        <row r="567">
          <cell r="A567" t="str">
            <v>COLD AGGLUTININ SCREEN</v>
          </cell>
        </row>
        <row r="568">
          <cell r="A568" t="str">
            <v>T-ACTIVATED RED CELLS</v>
          </cell>
        </row>
        <row r="569">
          <cell r="A569" t="str">
            <v>ANTIBODY REFERRAL</v>
          </cell>
        </row>
        <row r="570">
          <cell r="A570" t="str">
            <v>BIRMINGHAM IAG PANEL</v>
          </cell>
        </row>
        <row r="571">
          <cell r="A571" t="str">
            <v>BIRMINGHAM ENZYME PANEL</v>
          </cell>
        </row>
        <row r="572">
          <cell r="A572" t="str">
            <v>CAMBRIDGE IAG PANEL</v>
          </cell>
        </row>
        <row r="573">
          <cell r="A573" t="str">
            <v>CAMBRIDGE ENZYME PANEL</v>
          </cell>
        </row>
        <row r="574">
          <cell r="A574" t="str">
            <v>CROSS MATCH</v>
          </cell>
        </row>
        <row r="575">
          <cell r="A575" t="str">
            <v>CROSS MATCH</v>
          </cell>
        </row>
        <row r="576">
          <cell r="A576" t="str">
            <v>CROSS MATCH</v>
          </cell>
        </row>
        <row r="577">
          <cell r="A577" t="str">
            <v>CROSS MATCH</v>
          </cell>
        </row>
        <row r="578">
          <cell r="A578" t="str">
            <v>CROSS MATCH</v>
          </cell>
        </row>
        <row r="579">
          <cell r="A579" t="str">
            <v>COOMBES TEST - DIRECT</v>
          </cell>
        </row>
        <row r="580">
          <cell r="A580" t="str">
            <v>DIAMED IAG PANEL</v>
          </cell>
        </row>
        <row r="581">
          <cell r="A581" t="str">
            <v>DIAMED ENZYME PANEL</v>
          </cell>
        </row>
        <row r="582">
          <cell r="A582" t="str">
            <v>DUFFY PHENOTYPE</v>
          </cell>
        </row>
        <row r="583">
          <cell r="A583" t="str">
            <v>EMERGENCY O Rh NEG ISSUE</v>
          </cell>
        </row>
        <row r="584">
          <cell r="A584" t="str">
            <v>HEPARIN INDUCED THROMBOCYTOPENIA</v>
          </cell>
        </row>
        <row r="585">
          <cell r="A585" t="str">
            <v>HLA CYTOTOXIC ANTIBODY SCREEN (NBS)</v>
          </cell>
        </row>
        <row r="586">
          <cell r="A586" t="str">
            <v>KPA TYPE</v>
          </cell>
        </row>
        <row r="587">
          <cell r="A587" t="str">
            <v>KIDD PHENOTYPE</v>
          </cell>
        </row>
        <row r="588">
          <cell r="A588" t="str">
            <v>KLEIHAUER TEST</v>
          </cell>
        </row>
        <row r="589">
          <cell r="A589" t="str">
            <v>ANTI-KPA</v>
          </cell>
        </row>
        <row r="590">
          <cell r="A590" t="str">
            <v>ANTIBODY SCREEN (MANUAL)</v>
          </cell>
        </row>
        <row r="591">
          <cell r="A591" t="str">
            <v>COOMBES TEST - MONOSPECIFIC</v>
          </cell>
        </row>
        <row r="592">
          <cell r="A592" t="str">
            <v>BLOOD GROUP (MANUAL)</v>
          </cell>
        </row>
        <row r="593">
          <cell r="A593" t="str">
            <v>M TYPE / N TYPE</v>
          </cell>
        </row>
        <row r="594">
          <cell r="A594" t="str">
            <v>NATIONAL BLOOD SERVICE ENZYME PANEL</v>
          </cell>
        </row>
        <row r="595">
          <cell r="A595" t="str">
            <v>NEUTROPHIL SEROLOGY (NBS)</v>
          </cell>
        </row>
        <row r="596">
          <cell r="A596" t="str">
            <v>NATIONAL BLOOD SERVICE IAG PANEL</v>
          </cell>
        </row>
        <row r="597">
          <cell r="A597" t="str">
            <v>PLATELET SEROLOGY (NBS)</v>
          </cell>
        </row>
        <row r="598">
          <cell r="A598" t="str">
            <v>ANTIBODY QUANTITATION (NBS)</v>
          </cell>
        </row>
        <row r="599">
          <cell r="A599" t="str">
            <v>RHESUS PENOTYPE</v>
          </cell>
        </row>
        <row r="600">
          <cell r="A600" t="str">
            <v>ROOM TEMP PANEL (BIRMINGHAM)</v>
          </cell>
        </row>
        <row r="601">
          <cell r="A601" t="str">
            <v>ROOM TEMP PANEL (DIAMED)</v>
          </cell>
        </row>
        <row r="602">
          <cell r="A602" t="str">
            <v>COLD AGGLUTININ TITRE</v>
          </cell>
        </row>
        <row r="603">
          <cell r="A603" t="str">
            <v>SS TYPE</v>
          </cell>
        </row>
        <row r="604">
          <cell r="A604" t="str">
            <v>ANTIBODY TITRE (NBS)</v>
          </cell>
        </row>
        <row r="605">
          <cell r="A605" t="str">
            <v>ANTIBODY TITRE (NBS)</v>
          </cell>
        </row>
        <row r="606">
          <cell r="A606" t="str">
            <v>IAT PANEL  POST ZZAP</v>
          </cell>
        </row>
        <row r="607">
          <cell r="A607" t="str">
            <v>IMMUNOLOGY</v>
          </cell>
        </row>
        <row r="608">
          <cell r="A608" t="str">
            <v>ADRENAL ANTIBODIES</v>
          </cell>
        </row>
        <row r="609">
          <cell r="A609" t="str">
            <v>ANA (see connective tissue ANA screen)</v>
          </cell>
        </row>
        <row r="610">
          <cell r="A610" t="str">
            <v>ANCA - ANTI-NEUTROPHIL CYTO ANTIBODIES</v>
          </cell>
        </row>
        <row r="611">
          <cell r="A611" t="str">
            <v>ANTI CARDIOLIPIN IgG &amp; IgM</v>
          </cell>
        </row>
        <row r="612">
          <cell r="A612" t="str">
            <v>ANTI C1 ESTERASE ANTIBODY</v>
          </cell>
        </row>
        <row r="613">
          <cell r="A613" t="str">
            <v>ANTI RI (ANNA-2) NEURONAL ANTIBODY (CSF)</v>
          </cell>
        </row>
        <row r="614">
          <cell r="A614" t="str">
            <v>ANTI RI (ANNA-2) NEURONAL ANTIBODY (sent away)</v>
          </cell>
        </row>
        <row r="615">
          <cell r="A615" t="str">
            <v>ANTI-COLLEGEN TYPE 2(send away)</v>
          </cell>
        </row>
        <row r="616">
          <cell r="A616" t="str">
            <v>ANTI-CHOLINESTERASE Ab(send away)</v>
          </cell>
        </row>
        <row r="617">
          <cell r="A617" t="str">
            <v>AMYLOID-A(send away)</v>
          </cell>
        </row>
        <row r="618">
          <cell r="A618" t="str">
            <v>ANTI-C1Q ANTIBODY</v>
          </cell>
        </row>
        <row r="619">
          <cell r="A619" t="str">
            <v>ANTI-IGA ANTIBODY (send away)</v>
          </cell>
        </row>
        <row r="620">
          <cell r="A620" t="str">
            <v>AQUAPORIN 4 (Send away)</v>
          </cell>
        </row>
        <row r="621">
          <cell r="A621" t="str">
            <v>ASPERGILLUS PRECIPITINS</v>
          </cell>
        </row>
        <row r="622">
          <cell r="A622" t="str">
            <v>AVIAN PRECIPITINS</v>
          </cell>
        </row>
        <row r="623">
          <cell r="A623" t="str">
            <v>BETA 2 GLYCOPROTEIN 1</v>
          </cell>
        </row>
        <row r="624">
          <cell r="A624" t="str">
            <v>BETA 2 MICROGLOBULIN (NON HAZARDOUS) </v>
          </cell>
        </row>
        <row r="625">
          <cell r="A625" t="str">
            <v>BETA 2 MICROGLOBULIN URINE</v>
          </cell>
        </row>
        <row r="626">
          <cell r="A626" t="str">
            <v>C1 ESTERASE INHIBITOR  </v>
          </cell>
        </row>
        <row r="627">
          <cell r="A627" t="str">
            <v>C1 ESTERASE INHIBITOR FUNCTIONAL ASSAY </v>
          </cell>
        </row>
        <row r="628">
          <cell r="A628" t="str">
            <v>C3 NEPHRITIC FACTOR  </v>
          </cell>
        </row>
        <row r="629">
          <cell r="A629" t="str">
            <v>CARDIAC MUSCLE ANTIBODY</v>
          </cell>
        </row>
        <row r="630">
          <cell r="A630" t="str">
            <v>CARTILAGE ANTIBODY (sent away)</v>
          </cell>
        </row>
        <row r="631">
          <cell r="A631" t="str">
            <v>CCP</v>
          </cell>
        </row>
        <row r="632">
          <cell r="A632" t="str">
            <v>COMPONENT RESOLVED DIAGNOSIS</v>
          </cell>
        </row>
        <row r="633">
          <cell r="A633" t="str">
            <v>CENTROMERE </v>
          </cell>
        </row>
        <row r="634">
          <cell r="A634" t="str">
            <v>CH50(FUNCTIONAL COMPLEMENT ASSAY)+C3C4 </v>
          </cell>
        </row>
        <row r="635">
          <cell r="A635" t="str">
            <v>COMPLEMENT C3C4</v>
          </cell>
        </row>
        <row r="636">
          <cell r="A636" t="str">
            <v>COMPLEMENT COMPONENT C2</v>
          </cell>
        </row>
        <row r="637">
          <cell r="A637" t="str">
            <v>ALT'VE COMPLEMENT PATHWAY FACTOR H</v>
          </cell>
        </row>
        <row r="638">
          <cell r="A638" t="str">
            <v>ALT'VE COMPLEMENT PATHWAY AP50</v>
          </cell>
        </row>
        <row r="639">
          <cell r="A639" t="str">
            <v>ALT'VE COMP PATHWAY -ELISA</v>
          </cell>
        </row>
        <row r="640">
          <cell r="A640" t="str">
            <v>CLASSICAL COMP PATHWAT- ELISA</v>
          </cell>
        </row>
        <row r="641">
          <cell r="A641" t="str">
            <v>COMPLEMENT MANNIN BINDING LECTINS</v>
          </cell>
        </row>
        <row r="642">
          <cell r="A642" t="str">
            <v>CONNECTIVE TISSUE ANA SCREEN</v>
          </cell>
        </row>
        <row r="643">
          <cell r="A643" t="str">
            <v>CRYOGLOBULIN </v>
          </cell>
        </row>
        <row r="644">
          <cell r="A644" t="str">
            <v>CSF ALBUMIN </v>
          </cell>
        </row>
        <row r="645">
          <cell r="A645" t="str">
            <v>CSF Analysis (IgG Alb and OCBS)</v>
          </cell>
        </row>
        <row r="646">
          <cell r="A646" t="str">
            <v>CSF CALCULATION NO COST</v>
          </cell>
        </row>
        <row r="647">
          <cell r="A647" t="str">
            <v>CSF IGG</v>
          </cell>
        </row>
        <row r="648">
          <cell r="A648" t="str">
            <v>CSF IMMUNOELECTROPHORESIS</v>
          </cell>
        </row>
        <row r="649">
          <cell r="A649" t="str">
            <v>DNA  ANTIBODIES</v>
          </cell>
        </row>
        <row r="650">
          <cell r="A650" t="str">
            <v>ENA EXTENDED SCREEN</v>
          </cell>
        </row>
        <row r="651">
          <cell r="A651" t="str">
            <v>ENA PROFILE</v>
          </cell>
        </row>
        <row r="652">
          <cell r="A652" t="str">
            <v>ENA SCREEN</v>
          </cell>
        </row>
        <row r="653">
          <cell r="A653" t="str">
            <v>ENDOMYSIAL ANTIBODY IGA</v>
          </cell>
        </row>
        <row r="654">
          <cell r="A654" t="str">
            <v>ENDOMYSIAL ANTIBODY IGG</v>
          </cell>
        </row>
        <row r="655">
          <cell r="A655" t="str">
            <v>ENTEROCYTE ANTIBODY (sent away)</v>
          </cell>
        </row>
        <row r="656">
          <cell r="A656" t="str">
            <v>FARMER'S LUNG PRECIPITINS</v>
          </cell>
        </row>
        <row r="657">
          <cell r="A657" t="str">
            <v>FREE LIGHT CHAINS (SERUM)</v>
          </cell>
        </row>
        <row r="658">
          <cell r="A658" t="str">
            <v>FUNCTIONAL ANTIBODIES (PNEUMO IgG 1&amp;2 TETANUS IgG HAEM B)</v>
          </cell>
        </row>
        <row r="659">
          <cell r="A659" t="str">
            <v>GASTRIC PARIETAL CELL ANTIBODY</v>
          </cell>
        </row>
        <row r="660">
          <cell r="A660" t="str">
            <v>GLOMERULAR BASEMENT MEMBRANE ANTIBODY </v>
          </cell>
        </row>
        <row r="661">
          <cell r="A661" t="str">
            <v>HAEMOPHILUS B</v>
          </cell>
        </row>
        <row r="662">
          <cell r="A662" t="str">
            <v>HEP2</v>
          </cell>
        </row>
        <row r="663">
          <cell r="A663" t="str">
            <v>HISTONE ABS </v>
          </cell>
        </row>
        <row r="664">
          <cell r="A664" t="str">
            <v>IGA LOW CONCENTRATION</v>
          </cell>
        </row>
        <row r="665">
          <cell r="A665" t="str">
            <v>IGG SUBCLASSES </v>
          </cell>
        </row>
        <row r="666">
          <cell r="A666" t="str">
            <v>IMMUNOELECTROPHORESIS (URINE)</v>
          </cell>
        </row>
        <row r="667">
          <cell r="A667" t="str">
            <v>IMMUNOELECTROPHORESIS (SERUM)</v>
          </cell>
        </row>
        <row r="668">
          <cell r="A668" t="str">
            <v>IMMUNOFIXATION (IFIX)</v>
          </cell>
        </row>
        <row r="669">
          <cell r="A669" t="str">
            <v>IMMUNOGLOBULIN D </v>
          </cell>
        </row>
        <row r="670">
          <cell r="A670" t="str">
            <v>IMMUNOGLOBULIN E </v>
          </cell>
        </row>
        <row r="671">
          <cell r="A671" t="str">
            <v>IMMUNOGLOBULIN IGA</v>
          </cell>
        </row>
        <row r="672">
          <cell r="A672" t="str">
            <v>IMMUNOGLOBULIN IGG</v>
          </cell>
        </row>
        <row r="673">
          <cell r="A673" t="str">
            <v>IMMUNOGLOBULIN IGM</v>
          </cell>
        </row>
        <row r="674">
          <cell r="A674" t="str">
            <v>IMMUNOGLOBULINS + SERUM ELECTROPHORESIS </v>
          </cell>
        </row>
        <row r="675">
          <cell r="A675" t="str">
            <v>INSULIN ANTIBODIES (send away)</v>
          </cell>
        </row>
        <row r="676">
          <cell r="A676" t="str">
            <v>INTRINSIC FACTOR ASSAY</v>
          </cell>
        </row>
        <row r="677">
          <cell r="A677" t="str">
            <v>ISLET CELL ANTIBODY </v>
          </cell>
        </row>
        <row r="678">
          <cell r="A678" t="str">
            <v>COMPLEMENT C2</v>
          </cell>
        </row>
        <row r="679">
          <cell r="A679" t="str">
            <v>ISOELECTRIC FOCUSING (CSF) </v>
          </cell>
        </row>
        <row r="680">
          <cell r="A680" t="str">
            <v>ISOELECTRIC FOCUSING (SERUM OR URINE) </v>
          </cell>
        </row>
        <row r="681">
          <cell r="A681" t="str">
            <v>KAPPA BJP</v>
          </cell>
        </row>
        <row r="682">
          <cell r="A682" t="str">
            <v>LAMDA BJP</v>
          </cell>
        </row>
        <row r="683">
          <cell r="A683" t="str">
            <v>LIVER SCREEN</v>
          </cell>
        </row>
        <row r="684">
          <cell r="A684" t="str">
            <v>M2 MITOCHONDRIAL ANTIBODY </v>
          </cell>
        </row>
        <row r="685">
          <cell r="A685" t="str">
            <v>MPO ANTIBODIES</v>
          </cell>
        </row>
        <row r="686">
          <cell r="A686" t="str">
            <v>MPO ANTIBODIES (NEW METHOD)</v>
          </cell>
        </row>
        <row r="687">
          <cell r="A687" t="str">
            <v>NUCLEOSOMES</v>
          </cell>
        </row>
        <row r="688">
          <cell r="A688" t="str">
            <v>OVARIAN ANTIBODY </v>
          </cell>
        </row>
        <row r="689">
          <cell r="A689" t="str">
            <v>PARATHYROID ANTIBODY (sent away)</v>
          </cell>
        </row>
        <row r="690">
          <cell r="A690" t="str">
            <v>PEMPHIGOID/PEMPHIGUS ANTIBODYSKIN </v>
          </cell>
        </row>
        <row r="691">
          <cell r="A691" t="str">
            <v>PITUITARY ANTIBODY (sent away)</v>
          </cell>
        </row>
        <row r="692">
          <cell r="A692" t="str">
            <v>PNEUMOCCOCCUS</v>
          </cell>
        </row>
        <row r="693">
          <cell r="A693" t="str">
            <v>PREVNAR ASSAY</v>
          </cell>
        </row>
        <row r="694">
          <cell r="A694" t="str">
            <v>PR3 ANTIBODIES</v>
          </cell>
        </row>
        <row r="695">
          <cell r="A695" t="str">
            <v>PR3 ANTIBODIES (NEW METHOD)</v>
          </cell>
        </row>
        <row r="696">
          <cell r="A696" t="str">
            <v>PARANEOPLASTIC ANTIBODY</v>
          </cell>
        </row>
        <row r="697">
          <cell r="A697" t="str">
            <v>PURKINJE CELL ANTIBODY (CSF)</v>
          </cell>
        </row>
        <row r="698">
          <cell r="A698" t="str">
            <v>PURKINJE CELL ANTIBODY (CSF)</v>
          </cell>
        </row>
        <row r="699">
          <cell r="A699" t="str">
            <v>PURKINJE CELL ANTIBODY (SERUM)</v>
          </cell>
        </row>
        <row r="700">
          <cell r="A700" t="str">
            <v>PURKINJE CELL ANTIBODY (SERUM)</v>
          </cell>
        </row>
        <row r="701">
          <cell r="A701" t="str">
            <v>GLOMERULAR BASEMENT MEMBRANE QUANTITATIVE</v>
          </cell>
        </row>
        <row r="702">
          <cell r="A702" t="str">
            <v>RHEUMATOID FACTOR SCREEN</v>
          </cell>
        </row>
        <row r="703">
          <cell r="A703" t="str">
            <v>RHEUMATOID FACTOR TITRE</v>
          </cell>
        </row>
        <row r="704">
          <cell r="A704" t="str">
            <v>RNP</v>
          </cell>
        </row>
        <row r="705">
          <cell r="A705" t="str">
            <v>SALIVARY ALBUMIN</v>
          </cell>
        </row>
        <row r="706">
          <cell r="A706" t="str">
            <v>SALIVARY GLAND ANTIBODY </v>
          </cell>
        </row>
        <row r="707">
          <cell r="A707" t="str">
            <v>SALIVARY IGA</v>
          </cell>
        </row>
        <row r="708">
          <cell r="A708" t="str">
            <v>SCANNED MONOCLONAL COMPONENT</v>
          </cell>
        </row>
        <row r="709">
          <cell r="A709" t="str">
            <v>SERUM ALBUMIN </v>
          </cell>
        </row>
        <row r="710">
          <cell r="A710" t="str">
            <v>SERUM ELECTROPHORESIS PART OF IGS </v>
          </cell>
        </row>
        <row r="711">
          <cell r="A711" t="str">
            <v>SERUM HAPTOGLOBINS</v>
          </cell>
        </row>
        <row r="712">
          <cell r="A712" t="str">
            <v>SKELETAL MUSCLE ANTIBODY</v>
          </cell>
        </row>
        <row r="713">
          <cell r="A713" t="str">
            <v>SM</v>
          </cell>
        </row>
        <row r="714">
          <cell r="A714" t="str">
            <v>SSA</v>
          </cell>
        </row>
        <row r="715">
          <cell r="A715" t="str">
            <v>SSB</v>
          </cell>
        </row>
        <row r="716">
          <cell r="A716" t="str">
            <v>STEROID CELL ANTIBODIES </v>
          </cell>
        </row>
        <row r="717">
          <cell r="A717" t="str">
            <v>TETANUS IGG TOTAL</v>
          </cell>
        </row>
        <row r="718">
          <cell r="A718" t="str">
            <v>THYROID PEROXIDASE ANTIBODY</v>
          </cell>
        </row>
        <row r="719">
          <cell r="A719" t="str">
            <v>TISSUE TRANSGLUTAMINASE IgA</v>
          </cell>
        </row>
        <row r="720">
          <cell r="A720" t="str">
            <v>TISSUE TRANSGLUTAMINASE IgG</v>
          </cell>
        </row>
        <row r="721">
          <cell r="A721" t="str">
            <v>TRYPTASE </v>
          </cell>
        </row>
        <row r="722">
          <cell r="A722" t="str">
            <v>UNLABELLED SAMPLE</v>
          </cell>
        </row>
        <row r="723">
          <cell r="A723" t="str">
            <v>ELECTROPHORESIS URINE (BJP)</v>
          </cell>
        </row>
        <row r="724">
          <cell r="A724" t="str">
            <v>IMMUNOELECTROPHORESIS  (URINE)</v>
          </cell>
        </row>
        <row r="725">
          <cell r="A725" t="str">
            <v>ISOELECTRIC FOCUSING  (URINE)</v>
          </cell>
        </row>
        <row r="726">
          <cell r="A726" t="str">
            <v>VOLTAGE GATED CALCIUM CHANNEL(SENDAWAY)</v>
          </cell>
        </row>
        <row r="727">
          <cell r="A727" t="str">
            <v>VOLTAGE GATED POTASSIUM CHANNEL (send away)</v>
          </cell>
        </row>
        <row r="728">
          <cell r="A728" t="str">
            <v>ALLERGEN SPECIFIC IgE PANEL (PER PANEL)</v>
          </cell>
        </row>
        <row r="729">
          <cell r="A729" t="str">
            <v>ALLERGEN SPECIFIC IgE SINGLE (PER ALLERGEN)</v>
          </cell>
        </row>
        <row r="730">
          <cell r="A730" t="str">
            <v>ALMOND </v>
          </cell>
        </row>
        <row r="731">
          <cell r="A731" t="str">
            <v>AMOXICILLIN</v>
          </cell>
        </row>
        <row r="732">
          <cell r="A732" t="str">
            <v>AMPICILLIN</v>
          </cell>
        </row>
        <row r="733">
          <cell r="A733" t="str">
            <v>ANIMAL PANEL 1(CAT EPITHELIUM-HORSE DANDER-COW DANDER- DOG DANDER)   </v>
          </cell>
        </row>
        <row r="734">
          <cell r="A734" t="str">
            <v>ASPERGILLUS FUMIGATUS </v>
          </cell>
        </row>
        <row r="735">
          <cell r="A735" t="str">
            <v>AVACADO</v>
          </cell>
        </row>
        <row r="736">
          <cell r="A736" t="str">
            <v>BANANA</v>
          </cell>
        </row>
        <row r="737">
          <cell r="A737" t="str">
            <v>BIRCH POLLEN</v>
          </cell>
        </row>
        <row r="738">
          <cell r="A738" t="str">
            <v>BRAZIL NUT </v>
          </cell>
        </row>
        <row r="739">
          <cell r="A739" t="str">
            <v>CACAO</v>
          </cell>
        </row>
        <row r="740">
          <cell r="A740" t="str">
            <v>CAGEBIRD FEATHER MIX (Budgie Canary Parakeet Parrot Finch)</v>
          </cell>
        </row>
        <row r="741">
          <cell r="A741" t="str">
            <v>CASHEW NUT</v>
          </cell>
        </row>
        <row r="742">
          <cell r="A742" t="str">
            <v>CAT EPITHELIUM </v>
          </cell>
        </row>
        <row r="743">
          <cell r="A743" t="str">
            <v>CHEESE- CHEDDAR TYPE </v>
          </cell>
        </row>
        <row r="744">
          <cell r="A744" t="str">
            <v>CHICKEN MEAT </v>
          </cell>
        </row>
        <row r="745">
          <cell r="A745" t="str">
            <v>CHLORHEXIDINE</v>
          </cell>
        </row>
        <row r="746">
          <cell r="A746" t="str">
            <v>COCONUT</v>
          </cell>
        </row>
        <row r="747">
          <cell r="A747" t="str">
            <v>CODFISH </v>
          </cell>
        </row>
        <row r="748">
          <cell r="A748" t="str">
            <v>DOG DANDER </v>
          </cell>
        </row>
        <row r="749">
          <cell r="A749" t="str">
            <v>EGG WHITE </v>
          </cell>
        </row>
        <row r="750">
          <cell r="A750" t="str">
            <v>EGG YOLK </v>
          </cell>
        </row>
        <row r="751">
          <cell r="A751" t="str">
            <v>EGG (WHOLE)</v>
          </cell>
        </row>
        <row r="752">
          <cell r="A752" t="str">
            <v>FOOD PANEL 1(PEANUT-HAZELNUT-BRAZIL NUT-ALMOND-COCONUT) </v>
          </cell>
        </row>
        <row r="753">
          <cell r="A753" t="str">
            <v>FOOD PANEL 3(WHEAT-OAT-CORN-SESAME SEED-BUCKWHEAT) </v>
          </cell>
        </row>
        <row r="754">
          <cell r="A754" t="str">
            <v>FOOD PANEL 5 (EGG WHITE-MILK-WHEAT-PEANUT-SOYABEAN) </v>
          </cell>
        </row>
        <row r="755">
          <cell r="A755" t="str">
            <v>FOOD PANEL2(CODFISH-SHRIMP-BLUE MUSSEL-TUNA-SALMON) </v>
          </cell>
        </row>
        <row r="756">
          <cell r="A756" t="str">
            <v>OAT</v>
          </cell>
        </row>
        <row r="757">
          <cell r="A757" t="str">
            <v>OVOMUCOID</v>
          </cell>
        </row>
        <row r="758">
          <cell r="A758" t="str">
            <v>rArah2</v>
          </cell>
        </row>
        <row r="759">
          <cell r="A759" t="str">
            <v>rArah8</v>
          </cell>
        </row>
        <row r="760">
          <cell r="A760" t="str">
            <v>rCora8</v>
          </cell>
        </row>
        <row r="761">
          <cell r="A761" t="str">
            <v>GELOFUSIN</v>
          </cell>
        </row>
        <row r="762">
          <cell r="A762" t="str">
            <v>GLUTEN </v>
          </cell>
        </row>
        <row r="763">
          <cell r="A763" t="str">
            <v>GRASS POLLEN MIX</v>
          </cell>
        </row>
        <row r="764">
          <cell r="A764" t="str">
            <v>HAZELNUT </v>
          </cell>
        </row>
        <row r="765">
          <cell r="A765" t="str">
            <v>HONEY BEE VENOM </v>
          </cell>
        </row>
        <row r="766">
          <cell r="A766" t="str">
            <v>HORSE DANDER </v>
          </cell>
        </row>
        <row r="767">
          <cell r="A767" t="str">
            <v>HOUSE DUST MITE </v>
          </cell>
        </row>
        <row r="768">
          <cell r="A768" t="str">
            <v>KIWI FRUIT</v>
          </cell>
        </row>
        <row r="769">
          <cell r="A769" t="str">
            <v>LATEX ALLERGEN</v>
          </cell>
        </row>
        <row r="770">
          <cell r="A770" t="str">
            <v>LEMON ALLERGEN</v>
          </cell>
        </row>
        <row r="771">
          <cell r="A771" t="str">
            <v>LIPID TRANSFER PROTEIN (Pru-P3)</v>
          </cell>
        </row>
        <row r="772">
          <cell r="A772" t="str">
            <v>MILK </v>
          </cell>
        </row>
        <row r="773">
          <cell r="A773" t="str">
            <v>MOLD PANEL 1(PENICILLIUM NOTATUM-CLADOSPORIUM HERBARUM-ASPERGILLUS FUMIGATUS-CANDIDA ALBICANS-ALTERNARIA TENIUS) </v>
          </cell>
        </row>
        <row r="774">
          <cell r="A774" t="str">
            <v>MORPHINE (QUATERNARY AMMONIUM)</v>
          </cell>
        </row>
        <row r="775">
          <cell r="A775" t="str">
            <v>ORANGE</v>
          </cell>
        </row>
        <row r="776">
          <cell r="A776" t="str">
            <v>OMEGA-5-GLIADIN</v>
          </cell>
        </row>
        <row r="777">
          <cell r="A777" t="str">
            <v>PEANUT</v>
          </cell>
        </row>
        <row r="778">
          <cell r="A778" t="str">
            <v>PECAN NUT</v>
          </cell>
        </row>
        <row r="779">
          <cell r="A779" t="str">
            <v>PENICILLIN G </v>
          </cell>
        </row>
        <row r="780">
          <cell r="A780" t="str">
            <v>PENICILLIN V </v>
          </cell>
        </row>
        <row r="781">
          <cell r="A781" t="str">
            <v>PISTACHIO NUT</v>
          </cell>
        </row>
        <row r="782">
          <cell r="A782" t="str">
            <v>POULTRY FEATHER MIX(Goose Chicken Duck Turkey)</v>
          </cell>
        </row>
        <row r="783">
          <cell r="A783" t="str">
            <v>RAST COMMENT NO COST</v>
          </cell>
        </row>
        <row r="784">
          <cell r="A784" t="str">
            <v>SALMON</v>
          </cell>
        </row>
        <row r="785">
          <cell r="A785" t="str">
            <v>SESAME </v>
          </cell>
        </row>
        <row r="786">
          <cell r="A786" t="str">
            <v>SHRIMP/PRAWN</v>
          </cell>
        </row>
        <row r="787">
          <cell r="A787" t="str">
            <v>SOYBEAN </v>
          </cell>
        </row>
        <row r="788">
          <cell r="A788" t="str">
            <v>STAPH ENTEROTOXIN B (SEB)</v>
          </cell>
        </row>
        <row r="789">
          <cell r="A789" t="str">
            <v>STRAWBERRY</v>
          </cell>
        </row>
        <row r="790">
          <cell r="A790" t="str">
            <v>SUXAMETHONIUM</v>
          </cell>
        </row>
        <row r="791">
          <cell r="A791" t="str">
            <v>TIMOTHY GRASS POLLEN </v>
          </cell>
        </row>
        <row r="792">
          <cell r="A792" t="str">
            <v>TOMATO</v>
          </cell>
        </row>
        <row r="793">
          <cell r="A793" t="str">
            <v>TREE PANEL 6 (MAPLE-BOX ELDER-BIRCH-BEECH-OAK-WALNUT) </v>
          </cell>
        </row>
        <row r="794">
          <cell r="A794" t="str">
            <v>WALNUT</v>
          </cell>
        </row>
        <row r="795">
          <cell r="A795" t="str">
            <v>WHEAT </v>
          </cell>
        </row>
        <row r="796">
          <cell r="A796" t="str">
            <v>YELLOW JACKET VENOM (WASP) </v>
          </cell>
        </row>
        <row r="797">
          <cell r="A797" t="str">
            <v>ABSOLUTE CELL COUNTS</v>
          </cell>
        </row>
        <row r="798">
          <cell r="A798" t="str">
            <v>ACUTE MYELOID</v>
          </cell>
        </row>
        <row r="799">
          <cell r="A799" t="str">
            <v>CD40</v>
          </cell>
        </row>
        <row r="800">
          <cell r="A800" t="str">
            <v>CD4T</v>
          </cell>
        </row>
        <row r="801">
          <cell r="A801" t="str">
            <v>COMMON VARIABLE IMMUNODEFFICIENCY SCREEN</v>
          </cell>
        </row>
        <row r="802">
          <cell r="A802" t="str">
            <v>IMMUNODEFICIENCY SCREEN NEW PATIENT </v>
          </cell>
        </row>
        <row r="803">
          <cell r="A803" t="str">
            <v>IMMUNODEFICIENCY SCREEN NEW PATIENT </v>
          </cell>
        </row>
        <row r="804">
          <cell r="A804" t="str">
            <v>NEUTOPHIL OXIDATIVE BURST </v>
          </cell>
        </row>
        <row r="805">
          <cell r="A805" t="str">
            <v>NEUTOPHIL OXIDATIVE BURST </v>
          </cell>
        </row>
        <row r="806">
          <cell r="A806" t="str">
            <v>HLA B27 - inappropriate sample</v>
          </cell>
        </row>
        <row r="807">
          <cell r="A807" t="str">
            <v>T-CELL ACTIVATION</v>
          </cell>
        </row>
        <row r="808">
          <cell r="A808" t="str">
            <v>LYMPHOCYTE PROLIFERATION (PHA)</v>
          </cell>
        </row>
        <row r="809">
          <cell r="A809" t="str">
            <v>PAROXYMAL NOCTURNAL HAEMAGLOBINUREA SCREEN</v>
          </cell>
        </row>
        <row r="810">
          <cell r="A810" t="str">
            <v>PRIMARY LEUKAEMIA/LYMPHOMA SCREEN</v>
          </cell>
        </row>
        <row r="811">
          <cell r="A811" t="str">
            <v>MONITORING ALL </v>
          </cell>
        </row>
        <row r="812">
          <cell r="A812" t="str">
            <v>MONITORING AML</v>
          </cell>
        </row>
        <row r="813">
          <cell r="A813" t="str">
            <v>REDUCED ACUTE LEUKAEMIA SCREEN</v>
          </cell>
        </row>
        <row r="814">
          <cell r="A814" t="str">
            <v>REDUCED TALL</v>
          </cell>
        </row>
        <row r="815">
          <cell r="A815" t="str">
            <v>RITUXIMAB THERAPY</v>
          </cell>
        </row>
        <row r="816">
          <cell r="A816" t="str">
            <v>SECONDARY B CELL LYMPHOMA SCREEN</v>
          </cell>
        </row>
        <row r="817">
          <cell r="A817" t="str">
            <v>IMMUNE MONITORING</v>
          </cell>
        </row>
        <row r="818">
          <cell r="A818" t="str">
            <v>TCR ALPHA BETA</v>
          </cell>
        </row>
        <row r="819">
          <cell r="A819" t="str">
            <v>TCR GAMMA DELTA</v>
          </cell>
        </row>
        <row r="820">
          <cell r="A820" t="str">
            <v>LYMPHOCYTE SUBSETS</v>
          </cell>
        </row>
        <row r="821">
          <cell r="A821" t="str">
            <v>T-CELL RECEPTOR</v>
          </cell>
        </row>
        <row r="822">
          <cell r="A822" t="str">
            <v>SECONDARY T SCREEN</v>
          </cell>
        </row>
        <row r="823">
          <cell r="A823" t="str">
            <v>TDT</v>
          </cell>
        </row>
        <row r="824">
          <cell r="A824" t="str">
            <v>T-CELL MEMORY SUBSETS</v>
          </cell>
        </row>
        <row r="825">
          <cell r="A825" t="str">
            <v>HAIRY CELL LEUKAEMIA </v>
          </cell>
        </row>
        <row r="826">
          <cell r="A826" t="str">
            <v>HLA B27 </v>
          </cell>
        </row>
        <row r="827">
          <cell r="A827" t="str">
            <v>LEUKAEMIA SCREEN/ MONITORING PANEL-1</v>
          </cell>
        </row>
        <row r="828">
          <cell r="A828" t="str">
            <v>LEUKAEMIA SCREEN/ MONITORING PANEL-10</v>
          </cell>
        </row>
        <row r="829">
          <cell r="A829" t="str">
            <v>LEUKAEMIA SCREEN/ MONITORING PANEL-2</v>
          </cell>
        </row>
        <row r="830">
          <cell r="A830" t="str">
            <v>LEUKAEMIA SCREEN/ MONITORING PANEL-3</v>
          </cell>
        </row>
        <row r="831">
          <cell r="A831" t="str">
            <v>LEUKAEMIA SCREEN/ MONITORING PANEL-4</v>
          </cell>
        </row>
        <row r="832">
          <cell r="A832" t="str">
            <v>LEUKAEMIA SCREEN/ MONITORING PANEL-5</v>
          </cell>
        </row>
        <row r="833">
          <cell r="A833" t="str">
            <v>LEUKAEMIA SCREEN/ MONITORING PANEL-6</v>
          </cell>
        </row>
        <row r="834">
          <cell r="A834" t="str">
            <v>LEUKAEMIA SCREEN/ MONITORING PANEL-7</v>
          </cell>
        </row>
        <row r="835">
          <cell r="A835" t="str">
            <v>LEUKAEMIA SCREEN/ MONITORING PANEL-8</v>
          </cell>
        </row>
        <row r="836">
          <cell r="A836" t="str">
            <v>LEUKAEMIA SCREEN/ MONITORING PANEL-9</v>
          </cell>
        </row>
        <row r="837">
          <cell r="A837" t="str">
            <v>LYMPHOCYTE SUBSETS</v>
          </cell>
        </row>
        <row r="838">
          <cell r="A838" t="str">
            <v>MATURE B CELLMARKERS PANEL1</v>
          </cell>
        </row>
        <row r="839">
          <cell r="A839" t="str">
            <v>MATURE B CELLMARKERS PANEL2</v>
          </cell>
        </row>
        <row r="840">
          <cell r="A840" t="str">
            <v>MEMORY B CELLS SUBSETS</v>
          </cell>
        </row>
        <row r="841">
          <cell r="A841" t="str">
            <v>MEMORY T-CELL  SUBSETS</v>
          </cell>
        </row>
        <row r="842">
          <cell r="A842" t="str">
            <v>MYELOPROLIFERATIVE MDS SCREEN</v>
          </cell>
        </row>
        <row r="843">
          <cell r="A843" t="str">
            <v>MYELOMA SCREEN/MONITORING</v>
          </cell>
        </row>
        <row r="844">
          <cell r="A844" t="str">
            <v>NK-NKT CELL SUBSETS</v>
          </cell>
        </row>
        <row r="845">
          <cell r="A845" t="str">
            <v>PRIMARY B CELL CLONALITY</v>
          </cell>
        </row>
        <row r="846">
          <cell r="A846" t="str">
            <v>PRIMARY LYMPHOCYTE SUBSETS</v>
          </cell>
        </row>
        <row r="847">
          <cell r="A847" t="str">
            <v>PRIMARY T CELL SUBSETS</v>
          </cell>
        </row>
        <row r="848">
          <cell r="A848" t="str">
            <v>SECONDARY B CELL MATURATION MARKERS</v>
          </cell>
        </row>
        <row r="849">
          <cell r="A849" t="str">
            <v>SECONDARY T SCREEN</v>
          </cell>
        </row>
        <row r="850">
          <cell r="A850" t="str">
            <v>T CELL SUBSETS</v>
          </cell>
        </row>
        <row r="851">
          <cell r="A851" t="str">
            <v>TBNK CELL MARKERS</v>
          </cell>
        </row>
        <row r="852">
          <cell r="A852" t="str">
            <v>TBNK CELL MARKERS</v>
          </cell>
        </row>
        <row r="853">
          <cell r="A853" t="str">
            <v>T-CELL ACTIVATION</v>
          </cell>
        </row>
        <row r="854">
          <cell r="A854" t="str">
            <v>T-CELL RECEPTOR</v>
          </cell>
        </row>
        <row r="855">
          <cell r="A855" t="str">
            <v>MOLECULAR BIOLOGY</v>
          </cell>
        </row>
        <row r="856">
          <cell r="A856" t="str">
            <v>IMMUNODEFIC. CASES (INCL. PCR1 &amp; TCRD)</v>
          </cell>
        </row>
        <row r="857">
          <cell r="A857" t="str">
            <v>LIGHT CHAIN REARRANGEMENTS</v>
          </cell>
        </row>
        <row r="858">
          <cell r="A858" t="str">
            <v>IgGHD-J GENER REARRANGEMENTS</v>
          </cell>
        </row>
        <row r="859">
          <cell r="A859" t="str">
            <v>IGH</v>
          </cell>
        </row>
        <row r="860">
          <cell r="A860" t="str">
            <v>PARAFFIN PCR INCL. PCR1 &amp; MW MARKER</v>
          </cell>
        </row>
        <row r="861">
          <cell r="A861" t="str">
            <v>PARAFFIN PCR INCL. PCR1- MW &amp; IgL (suspected B cell disease)</v>
          </cell>
        </row>
        <row r="862">
          <cell r="A862" t="str">
            <v>PCR STANDARD REQUEST FOR ALL TCRS &amp; IgH</v>
          </cell>
        </row>
        <row r="863">
          <cell r="A863" t="str">
            <v>PCR (IGH-TCR BETA GAMMA)</v>
          </cell>
        </row>
        <row r="864">
          <cell r="A864" t="str">
            <v>PCR FRESH SAMPLES B CELL SUSPECTED (INCL. PCR1 &amp; IgL)</v>
          </cell>
        </row>
        <row r="865">
          <cell r="A865" t="str">
            <v>PCR HANDLING CHARGE</v>
          </cell>
        </row>
        <row r="866">
          <cell r="A866" t="str">
            <v>REQUEST FOR TCR ONLY</v>
          </cell>
        </row>
        <row r="867">
          <cell r="A867" t="str">
            <v>TCRVB SPECTRATYPING</v>
          </cell>
        </row>
        <row r="868">
          <cell r="A868" t="str">
            <v>TCR(BETA GAMMA)</v>
          </cell>
        </row>
        <row r="869">
          <cell r="A869" t="str">
            <v>TCR DELTA</v>
          </cell>
        </row>
        <row r="870">
          <cell r="A870" t="str">
            <v>TCRG</v>
          </cell>
        </row>
        <row r="871">
          <cell r="A871" t="str">
            <v>T(11:14) TRANSLOCATION</v>
          </cell>
        </row>
        <row r="872">
          <cell r="A872" t="str">
            <v>T(14:18) TRANSLOCATION</v>
          </cell>
        </row>
        <row r="873">
          <cell r="A873" t="str">
            <v>BCR-ABL QUANTITATION 1</v>
          </cell>
        </row>
        <row r="874">
          <cell r="A874" t="str">
            <v>BCR-ABL QUANTITATION 2</v>
          </cell>
        </row>
        <row r="875">
          <cell r="A875" t="str">
            <v>BCR-ABL QUANTITATION 1 + 2</v>
          </cell>
        </row>
        <row r="876">
          <cell r="A876" t="str">
            <v>HLA B57</v>
          </cell>
        </row>
        <row r="877">
          <cell r="A877" t="str">
            <v>BEHCETS</v>
          </cell>
        </row>
        <row r="878">
          <cell r="A878" t="str">
            <v>FULL HLA CLASS 1+11 </v>
          </cell>
        </row>
        <row r="879">
          <cell r="A879" t="str">
            <v>HIGH RESOLUTION CLASS II TYPING</v>
          </cell>
        </row>
        <row r="880">
          <cell r="A880" t="str">
            <v>HLA TYPEING FOR LUDWIG STUDY</v>
          </cell>
        </row>
        <row r="881">
          <cell r="A881" t="str">
            <v>CLASS 1 MATCHED PLATELETS</v>
          </cell>
        </row>
        <row r="882">
          <cell r="A882" t="str">
            <v>HLA CLASS 1 (A-B) </v>
          </cell>
        </row>
        <row r="883">
          <cell r="A883" t="str">
            <v>HLA CLASS 11 (DR- DQ) </v>
          </cell>
        </row>
        <row r="884">
          <cell r="A884" t="str">
            <v>HEAMOCHROMATOSIS GENOTYPE</v>
          </cell>
        </row>
        <row r="885">
          <cell r="A885" t="str">
            <v>INAPPROPRIATE SAMPLE</v>
          </cell>
        </row>
        <row r="886">
          <cell r="A886" t="str">
            <v>NARCOLEPSY</v>
          </cell>
        </row>
        <row r="887">
          <cell r="A887" t="str">
            <v>FACTOR V LEIDEN</v>
          </cell>
        </row>
        <row r="888">
          <cell r="A888" t="str">
            <v>METHALINE TETRAHYDRA FOLATE REDUCTASE</v>
          </cell>
        </row>
        <row r="889">
          <cell r="A889" t="str">
            <v>FACTOR II MUTATION</v>
          </cell>
        </row>
        <row r="890">
          <cell r="A890" t="str">
            <v>HLA CLASS 1 DESEASE ASSOCIATED STUDIES</v>
          </cell>
        </row>
        <row r="891">
          <cell r="A891" t="str">
            <v>HLA CLASS 1 DESEASE ASSOCIATED STUDIES</v>
          </cell>
        </row>
        <row r="892">
          <cell r="A892" t="str">
            <v>CHIMERISM PRIOR TO TRANSPLANT</v>
          </cell>
        </row>
        <row r="893">
          <cell r="A893" t="str">
            <v>CHIMERISM POST TO TRANSPLANT</v>
          </cell>
        </row>
        <row r="894">
          <cell r="A894" t="str">
            <v>PRIMARY B CELL SCREEN</v>
          </cell>
        </row>
        <row r="895">
          <cell r="A895" t="str">
            <v>MYELOMA MONITORING</v>
          </cell>
        </row>
        <row r="896">
          <cell r="A896" t="str">
            <v>Micro Biology</v>
          </cell>
        </row>
        <row r="897">
          <cell r="A897" t="str">
            <v>(001) Urines</v>
          </cell>
        </row>
        <row r="898">
          <cell r="A898" t="str">
            <v>(002) Wound</v>
          </cell>
        </row>
        <row r="899">
          <cell r="A899" t="str">
            <v>(003) Tissue</v>
          </cell>
        </row>
        <row r="900">
          <cell r="A900" t="str">
            <v>(004) Fluid samples</v>
          </cell>
        </row>
        <row r="901">
          <cell r="A901" t="str">
            <v>(005) CSF (spinal fluids)</v>
          </cell>
        </row>
        <row r="902">
          <cell r="A902" t="str">
            <v>(006) MRSA swabs</v>
          </cell>
        </row>
        <row r="903">
          <cell r="A903" t="str">
            <v>(008) Genital swabs</v>
          </cell>
        </row>
        <row r="904">
          <cell r="A904" t="str">
            <v>(009) URT (throat swab)</v>
          </cell>
        </row>
        <row r="905">
          <cell r="A905" t="str">
            <v>(011) LRT (sputum)</v>
          </cell>
        </row>
        <row r="906">
          <cell r="A906" t="str">
            <v>(012) Faecal samples</v>
          </cell>
        </row>
        <row r="907">
          <cell r="A907" t="str">
            <v>(014) Blood culture</v>
          </cell>
        </row>
        <row r="908">
          <cell r="A908" t="str">
            <v>(017) Mycology</v>
          </cell>
        </row>
        <row r="909">
          <cell r="A909" t="str">
            <v>(018) Mycobacteria (TB)</v>
          </cell>
        </row>
        <row r="910">
          <cell r="A910" t="str">
            <v>(019) Parasitology</v>
          </cell>
        </row>
        <row r="911">
          <cell r="A911" t="str">
            <v>(023) Clostridium difficile toxin</v>
          </cell>
        </row>
        <row r="912">
          <cell r="A912" t="str">
            <v>(M001) Adenovirus PCR</v>
          </cell>
        </row>
        <row r="913">
          <cell r="A913" t="str">
            <v>(M002) Cytomegalovirus PCR</v>
          </cell>
        </row>
        <row r="914">
          <cell r="A914" t="str">
            <v>(M003) Hepatitis C RNA</v>
          </cell>
        </row>
        <row r="915">
          <cell r="A915" t="str">
            <v>(M005) Enterovirus PCR</v>
          </cell>
        </row>
        <row r="916">
          <cell r="A916" t="str">
            <v>(M006) EBV DNA</v>
          </cell>
        </row>
        <row r="917">
          <cell r="A917" t="str">
            <v>(M007) Influenza A PCR</v>
          </cell>
        </row>
        <row r="918">
          <cell r="A918" t="str">
            <v>(M008) Influenza B PCR</v>
          </cell>
        </row>
        <row r="919">
          <cell r="A919" t="str">
            <v>(M009) Herpes simplex PCR</v>
          </cell>
        </row>
        <row r="920">
          <cell r="A920" t="str">
            <v>(M010) Norovirus PCR</v>
          </cell>
        </row>
        <row r="921">
          <cell r="A921" t="str">
            <v>(M012) MENINGITIS PCR</v>
          </cell>
        </row>
        <row r="922">
          <cell r="A922" t="str">
            <v>(M013) RSV PCR</v>
          </cell>
        </row>
        <row r="923">
          <cell r="A923" t="str">
            <v>(M016) Hepatitis B DNA</v>
          </cell>
        </row>
        <row r="924">
          <cell r="A924" t="str">
            <v>(M017) Parainfluenza virus PCR</v>
          </cell>
        </row>
        <row r="925">
          <cell r="A925" t="str">
            <v>(M019) Varicella zoster PCR</v>
          </cell>
        </row>
        <row r="926">
          <cell r="A926" t="str">
            <v>(M021) Avian influenza H5 PCR</v>
          </cell>
        </row>
        <row r="927">
          <cell r="A927" t="str">
            <v>Histo_Immunogenetics</v>
          </cell>
        </row>
        <row r="928">
          <cell r="A928" t="str">
            <v>HLA B57</v>
          </cell>
        </row>
        <row r="929">
          <cell r="A929" t="str">
            <v>BEHCETS</v>
          </cell>
        </row>
        <row r="930">
          <cell r="A930" t="str">
            <v>FULL HLA CLASS 1+11 </v>
          </cell>
        </row>
        <row r="931">
          <cell r="A931" t="str">
            <v>HIGH RESOLUTION CLASS II TYPING</v>
          </cell>
        </row>
        <row r="932">
          <cell r="A932" t="str">
            <v>HLA TYPEING FOR LUDWIG STUDY</v>
          </cell>
        </row>
        <row r="933">
          <cell r="A933" t="str">
            <v>CLASS 1 MATCHED PLATELETS</v>
          </cell>
        </row>
        <row r="934">
          <cell r="A934" t="str">
            <v>HLA CLASS 1 (A-B) </v>
          </cell>
        </row>
        <row r="935">
          <cell r="A935" t="str">
            <v>HLA CLASS 11 (DR- DQ) </v>
          </cell>
        </row>
        <row r="936">
          <cell r="A936" t="str">
            <v>HEAMOCHROMATOSIS GENOTYPE</v>
          </cell>
        </row>
        <row r="937">
          <cell r="A937" t="str">
            <v>INAPPROPRIATE SAMPLE</v>
          </cell>
        </row>
        <row r="938">
          <cell r="A938" t="str">
            <v>NARCOLEPSY</v>
          </cell>
        </row>
        <row r="939">
          <cell r="A939" t="str">
            <v>FACTOR V LEIDEN</v>
          </cell>
        </row>
        <row r="940">
          <cell r="A940" t="str">
            <v>METHALINE TETRAHYDRA FOLATE REDUCTASE</v>
          </cell>
        </row>
        <row r="941">
          <cell r="A941" t="str">
            <v>FACTOR II MUTATION</v>
          </cell>
        </row>
        <row r="942">
          <cell r="A942" t="str">
            <v>HLA CLASS 1 DESEASE ASSOCIATED STUDIES</v>
          </cell>
        </row>
        <row r="943">
          <cell r="A943" t="str">
            <v>HLA CLASS 1 DESEASE ASSOCIATED STUDIES</v>
          </cell>
        </row>
        <row r="944">
          <cell r="A944" t="str">
            <v>CHIMERISM PRIOR TO TRANSPLANT</v>
          </cell>
        </row>
        <row r="945">
          <cell r="A945" t="str">
            <v>CHIMERISM POST TO TRANSPLANT</v>
          </cell>
        </row>
        <row r="946">
          <cell r="A946" t="str">
            <v>ALDOSTERONE/RENIN RATIO</v>
          </cell>
        </row>
        <row r="947">
          <cell r="A947" t="str">
            <v>PRIMARY B CELL SCREEN</v>
          </cell>
        </row>
        <row r="948">
          <cell r="A948" t="str">
            <v>MYELOMA MONITORING</v>
          </cell>
        </row>
        <row r="949">
          <cell r="A949" t="str">
            <v>Parafin Block</v>
          </cell>
        </row>
        <row r="950">
          <cell r="A950" t="str">
            <v>Tumour Block</v>
          </cell>
        </row>
        <row r="951">
          <cell r="A951" t="str">
            <v>(001) Urines</v>
          </cell>
        </row>
        <row r="952">
          <cell r="A952" t="str">
            <v>(002) Wound</v>
          </cell>
        </row>
        <row r="953">
          <cell r="A953" t="str">
            <v>(003) Tissue</v>
          </cell>
        </row>
        <row r="954">
          <cell r="A954" t="str">
            <v>(004) Fluid samples</v>
          </cell>
        </row>
        <row r="955">
          <cell r="A955" t="str">
            <v>(005) CSF (spinal fluids)</v>
          </cell>
        </row>
        <row r="956">
          <cell r="A956" t="str">
            <v>(006) MRSA swabs</v>
          </cell>
        </row>
        <row r="957">
          <cell r="A957" t="str">
            <v>(008) Genital swabs</v>
          </cell>
        </row>
        <row r="958">
          <cell r="A958" t="str">
            <v>(009) URT (throat swab)</v>
          </cell>
        </row>
        <row r="959">
          <cell r="A959" t="str">
            <v>(011) LRT (sputum)</v>
          </cell>
        </row>
        <row r="960">
          <cell r="A960" t="str">
            <v>(012) Faecal samples</v>
          </cell>
        </row>
        <row r="961">
          <cell r="A961" t="str">
            <v>(014) Blood culture</v>
          </cell>
        </row>
        <row r="962">
          <cell r="A962" t="str">
            <v>(017) Mycology</v>
          </cell>
        </row>
        <row r="963">
          <cell r="A963" t="str">
            <v>(018) Mycobacteria (TB)</v>
          </cell>
        </row>
        <row r="964">
          <cell r="A964" t="str">
            <v>(019) Parasitology</v>
          </cell>
        </row>
        <row r="965">
          <cell r="A965" t="str">
            <v>(023) Clostridium difficile toxin</v>
          </cell>
        </row>
        <row r="966">
          <cell r="A966" t="str">
            <v>(M001) Adenovirus PCR</v>
          </cell>
        </row>
        <row r="967">
          <cell r="A967" t="str">
            <v>(M002) Cytomegalovirus PCR</v>
          </cell>
        </row>
        <row r="968">
          <cell r="A968" t="str">
            <v>(M003) Hepatitis C RNA</v>
          </cell>
        </row>
        <row r="969">
          <cell r="A969" t="str">
            <v>(M005) Enterovirus PCR</v>
          </cell>
        </row>
        <row r="970">
          <cell r="A970" t="str">
            <v>(M006) EBV DNA</v>
          </cell>
        </row>
        <row r="971">
          <cell r="A971" t="str">
            <v>(M007) Influenza A PCR</v>
          </cell>
        </row>
        <row r="972">
          <cell r="A972" t="str">
            <v>(M008) Influenza B PCR</v>
          </cell>
        </row>
        <row r="973">
          <cell r="A973" t="str">
            <v>(M009) Herpes simplex PCR</v>
          </cell>
        </row>
        <row r="974">
          <cell r="A974" t="str">
            <v>(M010) Norovirus PCR</v>
          </cell>
        </row>
        <row r="975">
          <cell r="A975" t="str">
            <v>(M013) RSV PCR</v>
          </cell>
        </row>
        <row r="976">
          <cell r="A976" t="str">
            <v>(M016) Hepatitis B DNA</v>
          </cell>
        </row>
        <row r="977">
          <cell r="A977" t="str">
            <v>(M017) Parainfluenza virus PCR</v>
          </cell>
        </row>
        <row r="978">
          <cell r="A978" t="str">
            <v>(M019) Varicella zoster PCR</v>
          </cell>
        </row>
        <row r="979">
          <cell r="A979" t="str">
            <v>(M021) Avian influenza H5 PCR</v>
          </cell>
        </row>
        <row r="980">
          <cell r="A980" t="str">
            <v>Pharmacy</v>
          </cell>
        </row>
        <row r="981">
          <cell r="A981" t="str">
            <v>Set-up Dispensary based</v>
          </cell>
        </row>
        <row r="982">
          <cell r="A982" t="str">
            <v>Set-up Oral &amp; Injectable (2 depts)</v>
          </cell>
        </row>
        <row r="983">
          <cell r="A983" t="str">
            <v>Set-up Technical Services</v>
          </cell>
        </row>
        <row r="984">
          <cell r="A984" t="str">
            <v>Trial Maintenance monthly</v>
          </cell>
        </row>
        <row r="985">
          <cell r="A985" t="str">
            <v>Storage</v>
          </cell>
        </row>
        <row r="986">
          <cell r="A986" t="str">
            <v>Dispensing</v>
          </cell>
        </row>
        <row r="987">
          <cell r="A987" t="str">
            <v>Medicine reconcilation</v>
          </cell>
        </row>
        <row r="988">
          <cell r="A988" t="str">
            <v>Injection dispensed</v>
          </cell>
        </row>
        <row r="989">
          <cell r="A989" t="str">
            <v>waste disposal</v>
          </cell>
        </row>
        <row r="990">
          <cell r="A990" t="str">
            <v>Radiology</v>
          </cell>
        </row>
        <row r="991">
          <cell r="A991" t="str">
            <v>Audiology</v>
          </cell>
        </row>
        <row r="992">
          <cell r="A992" t="str">
            <v>X-Ray multiple views with report</v>
          </cell>
        </row>
        <row r="993">
          <cell r="A993" t="str">
            <v>X-Ray single view with report</v>
          </cell>
        </row>
        <row r="994">
          <cell r="A994" t="str">
            <v>X-Ray spine or bone with report</v>
          </cell>
        </row>
        <row r="995">
          <cell r="A995" t="str">
            <v>Ultrasound Scan less than 20 minutes</v>
          </cell>
        </row>
        <row r="996">
          <cell r="A996" t="str">
            <v>Ultrasound Scan more than 20 minutes</v>
          </cell>
        </row>
        <row r="997">
          <cell r="A997" t="str">
            <v>Ultrasound (Upper Abdomen/Liver)</v>
          </cell>
        </row>
        <row r="998">
          <cell r="A998" t="str">
            <v>Biopsy ~ bone marrow</v>
          </cell>
        </row>
        <row r="999">
          <cell r="A999" t="str">
            <v>Biopsy ~ skin</v>
          </cell>
        </row>
        <row r="1000">
          <cell r="A1000" t="str">
            <v>Biopsy ~ muscle</v>
          </cell>
        </row>
        <row r="1001">
          <cell r="A1001" t="str">
            <v>Biopsy ~ fluoro/ultrasound guidance</v>
          </cell>
        </row>
        <row r="1002">
          <cell r="A1002" t="str">
            <v>Biopsy ~  CT guidance</v>
          </cell>
        </row>
        <row r="1003">
          <cell r="A1003" t="str">
            <v>Angiography</v>
          </cell>
        </row>
        <row r="1004">
          <cell r="A1004" t="str">
            <v>Fluoroscopy/screening</v>
          </cell>
        </row>
        <row r="1005">
          <cell r="A1005" t="str">
            <v>Cardiac Investigations</v>
          </cell>
        </row>
        <row r="1006">
          <cell r="A1006" t="str">
            <v>CXR PA</v>
          </cell>
        </row>
        <row r="1007">
          <cell r="A1007" t="str">
            <v>CXR PA &amp; Lat</v>
          </cell>
        </row>
        <row r="1008">
          <cell r="A1008" t="str">
            <v>U/S Liver</v>
          </cell>
        </row>
        <row r="1009">
          <cell r="A1009" t="str">
            <v>MRI Scan, one area, no contrast</v>
          </cell>
        </row>
        <row r="1010">
          <cell r="A1010" t="str">
            <v>MRI Scan, one area, post contrast only</v>
          </cell>
        </row>
        <row r="1011">
          <cell r="A1011" t="str">
            <v>MRI Scan, one area, pre and post contrast</v>
          </cell>
        </row>
        <row r="1012">
          <cell r="A1012" t="str">
            <v>MRI Scan, two - three areas, no contrast</v>
          </cell>
        </row>
        <row r="1013">
          <cell r="A1013" t="str">
            <v>MRI Scan, two - three areas, with contrast</v>
          </cell>
        </row>
        <row r="1014">
          <cell r="A1014" t="str">
            <v>MRI Scan, more than three areas</v>
          </cell>
        </row>
        <row r="1015">
          <cell r="A1015" t="str">
            <v>MRI Scan, requiring extensive patient repositioning and/or more than one contrast agent</v>
          </cell>
        </row>
        <row r="1016">
          <cell r="A1016" t="str">
            <v>CT Scan, one area, no contrast</v>
          </cell>
        </row>
        <row r="1017">
          <cell r="A1017" t="str">
            <v>CT Scan, one area with post contrast only</v>
          </cell>
        </row>
        <row r="1018">
          <cell r="A1018" t="str">
            <v>CT Scan, one area, pre and post contrast</v>
          </cell>
        </row>
        <row r="1019">
          <cell r="A1019" t="str">
            <v>CT Scan, two areas without contrast</v>
          </cell>
        </row>
        <row r="1020">
          <cell r="A1020" t="str">
            <v>CT Scan, two areas with contrast</v>
          </cell>
        </row>
        <row r="1021">
          <cell r="A1021" t="str">
            <v>CT Scan, three areas with contrast</v>
          </cell>
        </row>
        <row r="1022">
          <cell r="A1022" t="str">
            <v>CT Scan, more than three areas</v>
          </cell>
        </row>
        <row r="1023">
          <cell r="A1023" t="str">
            <v>CT Scan Chest-Abdomen-Pelvis (non-contrast)</v>
          </cell>
        </row>
        <row r="1024">
          <cell r="A1024" t="str">
            <v>CT Scan Brain (inclusive of contrast)</v>
          </cell>
        </row>
        <row r="1025">
          <cell r="A1025" t="str">
            <v>MRI Gadolinium Contrast Media where needed.</v>
          </cell>
        </row>
        <row r="1026">
          <cell r="A1026" t="str">
            <v>Duplicate sets of CT films (original data at time of scan)</v>
          </cell>
        </row>
        <row r="1027">
          <cell r="A1027" t="str">
            <v>Duplicate sets of CT films (retrospective / blinded data) </v>
          </cell>
        </row>
        <row r="1028">
          <cell r="A1028" t="str">
            <v>additional films</v>
          </cell>
        </row>
        <row r="1029">
          <cell r="A1029" t="str">
            <v>Out of Hours surcharge (MRI / CT) First 2 hours</v>
          </cell>
        </row>
        <row r="1030">
          <cell r="A1030" t="str">
            <v>Out of Hours surcharge (MRI / CT) add’n per hour</v>
          </cell>
        </row>
        <row r="1031">
          <cell r="A1031" t="str">
            <v>Out of Hours (Administration &amp; data collection) where additional Senior/ Radiographer time is required.Per person/hour</v>
          </cell>
        </row>
        <row r="1032">
          <cell r="A1032" t="str">
            <v>Copy Films (First film)</v>
          </cell>
        </row>
        <row r="1033">
          <cell r="A1033" t="str">
            <v>Copy Films (Second film and thereafter)</v>
          </cell>
        </row>
        <row r="1034">
          <cell r="A1034" t="str">
            <v>Copy Films{Large quantities by special arrangement}</v>
          </cell>
        </row>
        <row r="1035">
          <cell r="A1035" t="str">
            <v>Cost of 5.25” M-Optical RW Discs if not supplied. </v>
          </cell>
        </row>
        <row r="1036">
          <cell r="A1036" t="str">
            <v>Cost of suitable data quality CD/R’s if not supplied. Each</v>
          </cell>
        </row>
        <row r="1037">
          <cell r="A1037" t="str">
            <v>Cost of DAT tapes if not supplied. Each</v>
          </cell>
        </row>
        <row r="1038">
          <cell r="A1038" t="str">
            <v>MRI Spectroscopy one area</v>
          </cell>
        </row>
        <row r="1039">
          <cell r="A1039" t="str">
            <v>MRI Spectroscopy two areas</v>
          </cell>
        </row>
        <row r="1040">
          <cell r="A1040" t="str">
            <v>MRI Spectroscopy three areas</v>
          </cell>
        </row>
        <row r="1041">
          <cell r="A1041" t="str">
            <v>Film skeletal study</v>
          </cell>
        </row>
        <row r="1042">
          <cell r="A1042" t="str">
            <v>PET Scans - Portsmouuth</v>
          </cell>
        </row>
        <row r="1043">
          <cell r="A1043" t="str">
            <v>Mammogram</v>
          </cell>
        </row>
        <row r="1044">
          <cell r="A1044" t="str">
            <v>Barium Study</v>
          </cell>
        </row>
        <row r="1045">
          <cell r="A1045" t="str">
            <v>Film copy</v>
          </cell>
        </row>
        <row r="1046">
          <cell r="A1046" t="str">
            <v>CT Contrast Cost</v>
          </cell>
        </row>
        <row r="1047">
          <cell r="A1047" t="str">
            <v>MRI Contrast cost</v>
          </cell>
        </row>
        <row r="1048">
          <cell r="A1048" t="str">
            <v>MRI Spectroscopy</v>
          </cell>
        </row>
        <row r="1049">
          <cell r="A1049" t="str">
            <v>Outpatients_FirstAttendance_Single_Professional</v>
          </cell>
        </row>
        <row r="1050">
          <cell r="A1050" t="str">
            <v>Outpatients 1st Att C.L. A &amp; E</v>
          </cell>
        </row>
        <row r="1051">
          <cell r="A1051" t="str">
            <v>Outpatients 1st Att S.P. Cancer</v>
          </cell>
        </row>
        <row r="1052">
          <cell r="A1052" t="str">
            <v>Outpatients 1st Att S.P. Cardiology</v>
          </cell>
        </row>
        <row r="1053">
          <cell r="A1053" t="str">
            <v>Outpatients 1st Att S.P. Ear, Nose &amp; Throat</v>
          </cell>
        </row>
        <row r="1054">
          <cell r="A1054" t="str">
            <v>Outpatients 1st Att S.P. Gynaecology</v>
          </cell>
        </row>
        <row r="1055">
          <cell r="A1055" t="str">
            <v>Outpatients 1st Att C.L. Medicine </v>
          </cell>
        </row>
        <row r="1056">
          <cell r="A1056" t="str">
            <v>Outpatients 1st Att S.P. Medicine </v>
          </cell>
        </row>
        <row r="1057">
          <cell r="A1057" t="str">
            <v>Outpatients 1st Att C.L. Neurology</v>
          </cell>
        </row>
        <row r="1058">
          <cell r="A1058" t="str">
            <v>Outpatients 1st Att S.P. Ophthalmology </v>
          </cell>
        </row>
        <row r="1059">
          <cell r="A1059" t="str">
            <v>Outpatients 1st Att S.P. Orthodontics </v>
          </cell>
        </row>
        <row r="1060">
          <cell r="A1060" t="str">
            <v>Outpatients 1st Att S.P. Paediatric</v>
          </cell>
        </row>
        <row r="1061">
          <cell r="A1061" t="str">
            <v>Outpatients 1st Att C.L. Paediatric</v>
          </cell>
        </row>
        <row r="1062">
          <cell r="A1062" t="str">
            <v>Outpatients 1st Att C.L. Surgery</v>
          </cell>
        </row>
        <row r="1063">
          <cell r="A1063" t="str">
            <v>Outpatients 1st Att S.P. Surgery</v>
          </cell>
        </row>
        <row r="1064">
          <cell r="A1064" t="str">
            <v>Outpatients 1st Att S.P.T &amp; O</v>
          </cell>
        </row>
        <row r="1065">
          <cell r="A1065" t="str">
            <v>Outpatients_FollowUp_Single_Professional</v>
          </cell>
        </row>
        <row r="1066">
          <cell r="A1066" t="str">
            <v>Outpatients F/up C.L. A &amp; E</v>
          </cell>
        </row>
        <row r="1067">
          <cell r="A1067" t="str">
            <v>Outpatients F/up S.P. Cancer</v>
          </cell>
        </row>
        <row r="1068">
          <cell r="A1068" t="str">
            <v>Outpatients F/up S.P. Cardiology</v>
          </cell>
        </row>
        <row r="1069">
          <cell r="A1069" t="str">
            <v>Outpatients F/up S.P. Ear, Nose &amp; Throat</v>
          </cell>
        </row>
        <row r="1070">
          <cell r="A1070" t="str">
            <v>Outpatients F/up S.P. Gynaecology</v>
          </cell>
        </row>
        <row r="1071">
          <cell r="A1071" t="str">
            <v>Outpatients F/up C.L. Medicine </v>
          </cell>
        </row>
        <row r="1072">
          <cell r="A1072" t="str">
            <v>Outpatients F/up S.P. Medicine </v>
          </cell>
        </row>
        <row r="1073">
          <cell r="A1073" t="str">
            <v>Outpatients F/up C.L. Neurology</v>
          </cell>
        </row>
        <row r="1074">
          <cell r="A1074" t="str">
            <v>Outpatients F/up S.P. Ophthalmology </v>
          </cell>
        </row>
        <row r="1075">
          <cell r="A1075" t="str">
            <v>Outpatients F/up S.P. Orthodontics </v>
          </cell>
        </row>
        <row r="1076">
          <cell r="A1076" t="str">
            <v>Outpatients F/up S.P. Paediatric</v>
          </cell>
        </row>
        <row r="1077">
          <cell r="A1077" t="str">
            <v>Outpatients F/up C.L. Paediatric</v>
          </cell>
        </row>
        <row r="1078">
          <cell r="A1078" t="str">
            <v>Outpatients F/up C.L. Surgery</v>
          </cell>
        </row>
        <row r="1079">
          <cell r="A1079" t="str">
            <v>Outpatients F/up up S.P. Surgery</v>
          </cell>
        </row>
        <row r="1080">
          <cell r="A1080" t="str">
            <v>Outpatients F/up S.P.T &amp; O</v>
          </cell>
        </row>
        <row r="1081">
          <cell r="A1081" t="str">
            <v>Osteoporosis Centre</v>
          </cell>
        </row>
        <row r="1082">
          <cell r="A1082" t="str">
            <v>DEXA</v>
          </cell>
        </row>
        <row r="1083">
          <cell r="A1083" t="str">
            <v>Pqct Scan</v>
          </cell>
        </row>
        <row r="1084">
          <cell r="A1084" t="str">
            <v>Nuclear Medicine </v>
          </cell>
        </row>
        <row r="1085">
          <cell r="A1085" t="str">
            <v>Bone Whole Body</v>
          </cell>
        </row>
        <row r="1086">
          <cell r="A1086" t="str">
            <v>Bone Dynamic</v>
          </cell>
        </row>
        <row r="1087">
          <cell r="A1087" t="str">
            <v>Brain HMPAO</v>
          </cell>
        </row>
        <row r="1088">
          <cell r="A1088" t="str">
            <v>Brain DAT</v>
          </cell>
        </row>
        <row r="1089">
          <cell r="A1089" t="str">
            <v>Cardiac scan</v>
          </cell>
        </row>
        <row r="1090">
          <cell r="A1090" t="str">
            <v>DMSA</v>
          </cell>
        </row>
        <row r="1091">
          <cell r="A1091" t="str">
            <v>Gastric Emptying</v>
          </cell>
        </row>
        <row r="1092">
          <cell r="A1092" t="str">
            <v>Lung scan</v>
          </cell>
        </row>
        <row r="1093">
          <cell r="A1093" t="str">
            <v>Lymph scan</v>
          </cell>
        </row>
        <row r="1094">
          <cell r="A1094" t="str">
            <v>MAG-3</v>
          </cell>
        </row>
        <row r="1095">
          <cell r="A1095" t="str">
            <v>Octreotide</v>
          </cell>
        </row>
        <row r="1096">
          <cell r="A1096" t="str">
            <v>SeHCAT</v>
          </cell>
        </row>
        <row r="1097">
          <cell r="A1097" t="str">
            <v>Thyroid scan </v>
          </cell>
        </row>
        <row r="1098">
          <cell r="A1098" t="str">
            <v>Thyroid therapy</v>
          </cell>
        </row>
        <row r="1099">
          <cell r="A1099" t="str">
            <v>White cell scan</v>
          </cell>
        </row>
        <row r="1100">
          <cell r="A1100" t="str">
            <v>Sentinel Imaging external</v>
          </cell>
        </row>
        <row r="1101">
          <cell r="A1101" t="str">
            <v>Sentinel SUHT imaging</v>
          </cell>
        </row>
        <row r="1102">
          <cell r="A1102" t="str">
            <v>Sentinel SUHT injection/probe</v>
          </cell>
        </row>
        <row r="1103">
          <cell r="A1103" t="str">
            <v>Parathyroid</v>
          </cell>
        </row>
        <row r="1104">
          <cell r="A1104" t="str">
            <v>mIBG</v>
          </cell>
        </row>
        <row r="1105">
          <cell r="A1105" t="str">
            <v>Thyroid post ablation I-131 imaging only</v>
          </cell>
        </row>
        <row r="1106">
          <cell r="A1106" t="str">
            <v>Thyroid post ablation I-131 imaging and drink</v>
          </cell>
        </row>
        <row r="1107">
          <cell r="A1107" t="str">
            <v>P32</v>
          </cell>
        </row>
        <row r="1108">
          <cell r="A1108" t="str">
            <v>Blood Vol</v>
          </cell>
        </row>
        <row r="1109">
          <cell r="A1109" t="str">
            <v>GFR</v>
          </cell>
        </row>
        <row r="1110">
          <cell r="A1110" t="str">
            <v>Urea</v>
          </cell>
        </row>
        <row r="1111">
          <cell r="A1111" t="str">
            <v>Bile Salt deconjugation C14</v>
          </cell>
        </row>
        <row r="1112">
          <cell r="A1112" t="str">
            <v>Meckels</v>
          </cell>
        </row>
      </sheetData>
    </sheetDataSet>
  </externalBook>
</externalLink>
</file>

<file path=xl/externalLinks/externalLink4.xml><?xml version="1.0" encoding="utf-8"?>
<externalLink xmlns="http://schemas.openxmlformats.org/spreadsheetml/2006/main">
  <externalBook xmlns:d2p1="http://schemas.openxmlformats.org/officeDocument/2006/relationships" d2p1:id="rId1">
    <sheetNames>
      <sheetName val="Study Information &amp; rates"/>
      <sheetName val="Total Summary and Budget Tab"/>
      <sheetName val="Total summary"/>
      <sheetName val="Budget"/>
      <sheetName val="R&amp;D Overheads data"/>
      <sheetName val="Reconciliation"/>
      <sheetName val="Look Up"/>
      <sheetName val="Per patient Arm 1"/>
      <sheetName val="Additional Study Activities"/>
      <sheetName val="Set-up and other costs"/>
      <sheetName val="Pharmacy"/>
      <sheetName val="R&amp;D Authorisation Sheet"/>
      <sheetName val="Guidance"/>
      <sheetName val="Data Sheet Costs"/>
    </sheetNames>
    <sheetDataSet>
      <sheetData sheetId="0" refreshError="1"/>
      <sheetData sheetId="1" refreshError="1"/>
      <sheetData sheetId="2" refreshError="1"/>
      <sheetData sheetId="3" refreshError="1"/>
      <sheetData sheetId="4" refreshError="1"/>
      <sheetData sheetId="5" refreshError="1"/>
      <sheetData sheetId="6" refreshError="1">
        <row r="5">
          <cell r="A5" t="str">
            <v>Support Cost</v>
          </cell>
        </row>
        <row r="6">
          <cell r="A6" t="str">
            <v>Research Cost A</v>
          </cell>
        </row>
        <row r="7">
          <cell r="A7" t="str">
            <v>Research Cost B</v>
          </cell>
        </row>
        <row r="8">
          <cell r="A8" t="str">
            <v>Excess Treatment Costs</v>
          </cell>
        </row>
        <row r="15">
          <cell r="A15" t="str">
            <v>Pathology</v>
          </cell>
        </row>
        <row r="16">
          <cell r="A16" t="str">
            <v>Radiology</v>
          </cell>
        </row>
        <row r="17">
          <cell r="A17" t="str">
            <v>Opthamology</v>
          </cell>
        </row>
        <row r="18">
          <cell r="A18" t="str">
            <v>Other Costs</v>
          </cell>
        </row>
      </sheetData>
      <sheetData sheetId="7" refreshError="1"/>
      <sheetData sheetId="8" refreshError="1"/>
      <sheetData sheetId="9" refreshError="1"/>
      <sheetData sheetId="10" refreshError="1"/>
      <sheetData sheetId="11" refreshError="1"/>
      <sheetData sheetId="12" refreshError="1"/>
      <sheetData sheetId="13" refreshError="1">
        <row r="9">
          <cell r="A9" t="str">
            <v>Staff</v>
          </cell>
        </row>
        <row r="10">
          <cell r="A10" t="str">
            <v>Band 1</v>
          </cell>
        </row>
        <row r="11">
          <cell r="A11" t="str">
            <v>Band 2 (eg MTO)</v>
          </cell>
        </row>
        <row r="12">
          <cell r="A12" t="str">
            <v>Band 3 (eg Clerical)</v>
          </cell>
        </row>
        <row r="13">
          <cell r="A13" t="str">
            <v>Band 4 (eg dental nurse, MLSO)</v>
          </cell>
        </row>
        <row r="14">
          <cell r="A14" t="str">
            <v>Band 5 (eg AHPs)</v>
          </cell>
        </row>
        <row r="15">
          <cell r="A15" t="str">
            <v>Band 6 (eg Staff Nurse/Midwife)</v>
          </cell>
        </row>
        <row r="16">
          <cell r="A16" t="str">
            <v>Band 7 (eg Senior Nurse)</v>
          </cell>
        </row>
        <row r="17">
          <cell r="A17" t="str">
            <v>Band 8A (eg Senior Clinical Scientist)</v>
          </cell>
        </row>
        <row r="18">
          <cell r="A18" t="str">
            <v>Band 8B (eg Nurse Consultant)</v>
          </cell>
        </row>
        <row r="19">
          <cell r="A19" t="str">
            <v>Band 8C (eg Senior Manager)</v>
          </cell>
        </row>
        <row r="20">
          <cell r="A20" t="str">
            <v>Band 8D (eg Director)</v>
          </cell>
        </row>
        <row r="21">
          <cell r="A21" t="str">
            <v>Band 9 (eg Executive)</v>
          </cell>
        </row>
        <row r="22">
          <cell r="A22" t="str">
            <v>Student</v>
          </cell>
        </row>
        <row r="23">
          <cell r="A23" t="str">
            <v>Consultant</v>
          </cell>
        </row>
        <row r="24">
          <cell r="A24" t="str">
            <v>Specialist Registrar</v>
          </cell>
        </row>
        <row r="25">
          <cell r="A25" t="str">
            <v>SHO</v>
          </cell>
        </row>
        <row r="26">
          <cell r="A26" t="str">
            <v>HO</v>
          </cell>
        </row>
        <row r="27">
          <cell r="A27" t="str">
            <v>Associate Specialist</v>
          </cell>
        </row>
        <row r="28">
          <cell r="A28" t="str">
            <v>Consumables</v>
          </cell>
        </row>
        <row r="29">
          <cell r="A29" t="str">
            <v>Pulmonary Function Tests</v>
          </cell>
        </row>
        <row r="30">
          <cell r="A30" t="str">
            <v>Apron Polythene Unisex Disposable</v>
          </cell>
        </row>
        <row r="31">
          <cell r="A31" t="str">
            <v>Mask face surgical fluidshield membrane</v>
          </cell>
        </row>
        <row r="32">
          <cell r="A32" t="str">
            <v>Mask face surgical duckbill</v>
          </cell>
        </row>
        <row r="33">
          <cell r="A33" t="str">
            <v>Airway oropharyngeal size 000 - lilac</v>
          </cell>
        </row>
        <row r="34">
          <cell r="A34" t="str">
            <v>Airway oropharyngeal size 00 - blue</v>
          </cell>
        </row>
        <row r="35">
          <cell r="A35" t="str">
            <v>Airway oropharyngeal size 0 - grey</v>
          </cell>
        </row>
        <row r="36">
          <cell r="A36" t="str">
            <v>Airway oropharyngeal size 1 - white</v>
          </cell>
        </row>
        <row r="37">
          <cell r="A37" t="str">
            <v>Airway oropharyngeal size 2 - green</v>
          </cell>
        </row>
        <row r="38">
          <cell r="A38" t="str">
            <v>Airway oropharyngeal size 3 - orange</v>
          </cell>
        </row>
        <row r="39">
          <cell r="A39" t="str">
            <v>Airway oropharyngeal size 4 - red</v>
          </cell>
        </row>
        <row r="40">
          <cell r="A40" t="str">
            <v>nasal cannula - paediatric</v>
          </cell>
        </row>
        <row r="41">
          <cell r="A41" t="str">
            <v>nasal cannula - adult</v>
          </cell>
        </row>
        <row r="42">
          <cell r="A42" t="str">
            <v>facemask aerosol - paediatric</v>
          </cell>
        </row>
        <row r="43">
          <cell r="A43" t="str">
            <v>facemask aerosol - adult with nebuliser connector</v>
          </cell>
        </row>
        <row r="44">
          <cell r="A44" t="str">
            <v>facemask aerosol - adult non rebreathing</v>
          </cell>
        </row>
        <row r="45">
          <cell r="A45" t="str">
            <v>facemask single use - paediatric</v>
          </cell>
        </row>
        <row r="46">
          <cell r="A46" t="str">
            <v>facemask oxygen med conc - paediatric</v>
          </cell>
        </row>
        <row r="47">
          <cell r="A47" t="str">
            <v>facemask oxygen med conc - adult</v>
          </cell>
        </row>
        <row r="48">
          <cell r="A48" t="str">
            <v>catheter mount for suction catheteres</v>
          </cell>
        </row>
        <row r="49">
          <cell r="A49" t="str">
            <v>Peak Flow Meter mouthpiece</v>
          </cell>
        </row>
        <row r="50">
          <cell r="A50" t="str">
            <v>Peak Flow Meter mouthpiece single use - adult</v>
          </cell>
        </row>
        <row r="51">
          <cell r="A51" t="str">
            <v>Tracheal Tube sterile/siliconised (var sizes)</v>
          </cell>
        </row>
        <row r="52">
          <cell r="A52" t="str">
            <v>Tracheal Tube murphy eye sterile (var sizes)</v>
          </cell>
        </row>
        <row r="53">
          <cell r="A53" t="str">
            <v>Mucus extractor/collector 20ml without catheter</v>
          </cell>
        </row>
        <row r="54">
          <cell r="A54" t="str">
            <v>Mucus extractor/collector with brochoscopy adaptor</v>
          </cell>
        </row>
        <row r="55">
          <cell r="A55" t="str">
            <v>Tourniquet latex free blood collection</v>
          </cell>
        </row>
        <row r="56">
          <cell r="A56" t="str">
            <v>Blood collection set 21g &amp; 23g</v>
          </cell>
        </row>
        <row r="57">
          <cell r="A57" t="str">
            <v>Total equipment cost for single blood visit</v>
          </cell>
        </row>
        <row r="58">
          <cell r="A58" t="str">
            <v>Total cost for vaccination equipment per vaccine </v>
          </cell>
        </row>
        <row r="59">
          <cell r="A59" t="str">
            <v>Needles (pr Box)</v>
          </cell>
        </row>
        <row r="60">
          <cell r="A60" t="str">
            <v>Blue Needles</v>
          </cell>
        </row>
        <row r="61">
          <cell r="A61" t="str">
            <v>Green Needles</v>
          </cell>
        </row>
        <row r="62">
          <cell r="A62" t="str">
            <v>Mepopore tape (60 rolls)</v>
          </cell>
        </row>
        <row r="63">
          <cell r="A63" t="str">
            <v>Plasters (Pack 100)</v>
          </cell>
        </row>
        <row r="64">
          <cell r="A64" t="str">
            <v>Spot plasters</v>
          </cell>
        </row>
        <row r="65">
          <cell r="A65" t="str">
            <v>tagaderm dressings</v>
          </cell>
        </row>
        <row r="66">
          <cell r="A66" t="str">
            <v>Sterets(pack 100)</v>
          </cell>
        </row>
        <row r="67">
          <cell r="A67" t="str">
            <v>Syringes - 2ml  each</v>
          </cell>
        </row>
        <row r="68">
          <cell r="A68" t="str">
            <v>Syringes - 5ml  (100)</v>
          </cell>
        </row>
        <row r="69">
          <cell r="A69" t="str">
            <v>Syringes - 10ml  (100)</v>
          </cell>
        </row>
        <row r="70">
          <cell r="A70" t="str">
            <v>Syringes - 20ml  (100)</v>
          </cell>
        </row>
        <row r="71">
          <cell r="A71" t="str">
            <v>Venflons blue</v>
          </cell>
        </row>
        <row r="72">
          <cell r="A72" t="str">
            <v>Venflons green</v>
          </cell>
        </row>
        <row r="73">
          <cell r="A73" t="str">
            <v>cotton wool balls</v>
          </cell>
        </row>
        <row r="74">
          <cell r="A74" t="str">
            <v>Instrument tray</v>
          </cell>
        </row>
        <row r="75">
          <cell r="A75" t="str">
            <v>liquid handwash</v>
          </cell>
        </row>
        <row r="76">
          <cell r="A76" t="str">
            <v>Cleaning wipes</v>
          </cell>
        </row>
        <row r="77">
          <cell r="A77" t="str">
            <v>Blue butterflies</v>
          </cell>
        </row>
        <row r="78">
          <cell r="A78" t="str">
            <v>Green butterflies</v>
          </cell>
        </row>
        <row r="79">
          <cell r="A79" t="str">
            <v>Burrette giving set (box 20)</v>
          </cell>
        </row>
        <row r="80">
          <cell r="A80" t="str">
            <v>blood bottle (Vacutainer)</v>
          </cell>
        </row>
        <row r="81">
          <cell r="A81" t="str">
            <v>Blood giving set (box 60)</v>
          </cell>
        </row>
        <row r="82">
          <cell r="A82" t="str">
            <v>Specimen giving sets (box 100)</v>
          </cell>
        </row>
        <row r="83">
          <cell r="A83" t="str">
            <v>Suction tubing</v>
          </cell>
        </row>
        <row r="84">
          <cell r="A84" t="str">
            <v>Oxygen tubing</v>
          </cell>
        </row>
        <row r="85">
          <cell r="A85" t="str">
            <v>Bandages 5cm</v>
          </cell>
        </row>
        <row r="86">
          <cell r="A86" t="str">
            <v>pair of gloves</v>
          </cell>
        </row>
        <row r="87">
          <cell r="A87" t="str">
            <v>Gloves non sterile (box 100)</v>
          </cell>
        </row>
        <row r="88">
          <cell r="A88" t="str">
            <v>Gloves sterile (box 50)</v>
          </cell>
        </row>
        <row r="89">
          <cell r="A89" t="str">
            <v>Yellow rubbish bags</v>
          </cell>
        </row>
        <row r="90">
          <cell r="A90" t="str">
            <v>Namebands - Child (pack 100)</v>
          </cell>
        </row>
        <row r="91">
          <cell r="A91" t="str">
            <v>Namebands - Adult (pack 100)</v>
          </cell>
        </row>
        <row r="92">
          <cell r="A92" t="str">
            <v>Oral Syringes - 5ml (box 100)</v>
          </cell>
        </row>
        <row r="93">
          <cell r="A93" t="str">
            <v>Oral Syringes - 10ml (box 100)</v>
          </cell>
        </row>
        <row r="94">
          <cell r="A94" t="str">
            <v>Plastic Aprons (roll 200)</v>
          </cell>
        </row>
        <row r="95">
          <cell r="A95" t="str">
            <v>Tissues</v>
          </cell>
        </row>
        <row r="96">
          <cell r="A96" t="str">
            <v>Stethescope</v>
          </cell>
        </row>
        <row r="97">
          <cell r="A97" t="str">
            <v>Oxygen saturation probes (non disposable)</v>
          </cell>
        </row>
        <row r="98">
          <cell r="A98" t="str">
            <v>Urine bottle - disposable (pack 200)</v>
          </cell>
        </row>
        <row r="99">
          <cell r="A99" t="str">
            <v>Slipper pans -disposable (pack 200)</v>
          </cell>
        </row>
        <row r="100">
          <cell r="A100" t="str">
            <v>Vomit bowls - disposable (pack 200)</v>
          </cell>
        </row>
        <row r="101">
          <cell r="A101" t="str">
            <v>Sharps bin small</v>
          </cell>
        </row>
        <row r="102">
          <cell r="A102" t="str">
            <v>Sharps bin 1 litre</v>
          </cell>
        </row>
        <row r="103">
          <cell r="A103" t="str">
            <v>Ametop per tube</v>
          </cell>
        </row>
        <row r="104">
          <cell r="A104" t="str">
            <v>Emla per tube</v>
          </cell>
        </row>
        <row r="105">
          <cell r="A105" t="str">
            <v>Ethyl chloride spray per canister</v>
          </cell>
        </row>
        <row r="106">
          <cell r="A106" t="str">
            <v>Dry ice per 10kg bag</v>
          </cell>
        </row>
        <row r="107">
          <cell r="A107" t="str">
            <v>Adrenaline per ampule</v>
          </cell>
        </row>
        <row r="108">
          <cell r="A108" t="str">
            <v>Swab nasopharygeal</v>
          </cell>
        </row>
        <row r="109">
          <cell r="A109" t="str">
            <v>Swab oral</v>
          </cell>
        </row>
        <row r="110">
          <cell r="A110" t="str">
            <v>Digital thermometer</v>
          </cell>
        </row>
        <row r="111">
          <cell r="A111" t="str">
            <v>Thermometer dot matrix system single use</v>
          </cell>
        </row>
        <row r="112">
          <cell r="A112" t="str">
            <v>Pregnancy testing kit</v>
          </cell>
        </row>
        <row r="113">
          <cell r="A113" t="str">
            <v>Staff travel (est 10mile round trip)</v>
          </cell>
        </row>
        <row r="114">
          <cell r="A114" t="str">
            <v>Staff travel (est 15mile round trip)</v>
          </cell>
        </row>
        <row r="115">
          <cell r="A115" t="str">
            <v>Staff travel (est 20mile round trip)</v>
          </cell>
        </row>
        <row r="116">
          <cell r="A116" t="str">
            <v>Staff travel (est 25mile round trip)</v>
          </cell>
        </row>
        <row r="117">
          <cell r="A117" t="str">
            <v>Staff travel (est 30mile round trip)</v>
          </cell>
        </row>
        <row r="118">
          <cell r="A118" t="str">
            <v>Staff travel (est 35mile round trip)</v>
          </cell>
        </row>
        <row r="119">
          <cell r="A119" t="str">
            <v>Staff travel (est 40mile round trip)</v>
          </cell>
        </row>
        <row r="120">
          <cell r="A120" t="str">
            <v>Staff travel (est 45mile round trip)</v>
          </cell>
        </row>
        <row r="121">
          <cell r="A121" t="str">
            <v>Staff travel (est 50mile round trip)</v>
          </cell>
        </row>
        <row r="122">
          <cell r="A122" t="str">
            <v>WTCRF Room Hire</v>
          </cell>
        </row>
        <row r="123">
          <cell r="A123" t="str">
            <v>A4 white paper (500 sheets)</v>
          </cell>
        </row>
        <row r="124">
          <cell r="A124" t="str">
            <v>C5 envelopes (pack 500)</v>
          </cell>
        </row>
        <row r="125">
          <cell r="A125" t="str">
            <v>DL envelopes (pack 1000)</v>
          </cell>
        </row>
        <row r="126">
          <cell r="A126" t="str">
            <v>Printer Cartridge - Laser</v>
          </cell>
        </row>
        <row r="127">
          <cell r="A127" t="str">
            <v>Printer Cartridge - Inkjet</v>
          </cell>
        </row>
        <row r="128">
          <cell r="A128" t="str">
            <v>First class stamp</v>
          </cell>
        </row>
        <row r="129">
          <cell r="A129" t="str">
            <v>Equipment</v>
          </cell>
        </row>
        <row r="130">
          <cell r="A130" t="str">
            <v>Desktop PC</v>
          </cell>
        </row>
        <row r="131">
          <cell r="A131" t="str">
            <v>Laptop</v>
          </cell>
        </row>
        <row r="132">
          <cell r="A132" t="str">
            <v>PDA</v>
          </cell>
        </row>
        <row r="133">
          <cell r="A133" t="str">
            <v>Support Charge (per annum)</v>
          </cell>
        </row>
        <row r="134">
          <cell r="A134" t="str">
            <v>Laser Printer</v>
          </cell>
        </row>
        <row r="135">
          <cell r="A135" t="str">
            <v>Laser Printer - network</v>
          </cell>
        </row>
        <row r="136">
          <cell r="A136" t="str">
            <v>Colour Inkjet</v>
          </cell>
        </row>
        <row r="137">
          <cell r="A137" t="str">
            <v>Cardiology</v>
          </cell>
        </row>
        <row r="138">
          <cell r="A138" t="str">
            <v>Audiometry</v>
          </cell>
        </row>
        <row r="139">
          <cell r="A139" t="str">
            <v>Electrocardiograph</v>
          </cell>
        </row>
        <row r="140">
          <cell r="A140" t="str">
            <v>DEXA</v>
          </cell>
        </row>
        <row r="141">
          <cell r="A141" t="str">
            <v>Echocardiography</v>
          </cell>
        </row>
        <row r="142">
          <cell r="A142" t="str">
            <v>Clinical Biochemistry</v>
          </cell>
        </row>
        <row r="143">
          <cell r="A143" t="str">
            <v>3 HYDROXYBUTERATE</v>
          </cell>
        </row>
        <row r="144">
          <cell r="A144" t="str">
            <v>17 OH PROGESTERONE - BLOOD SPOT</v>
          </cell>
        </row>
        <row r="145">
          <cell r="A145" t="str">
            <v>17 OH PROGESTERONE - SERUM</v>
          </cell>
        </row>
        <row r="146">
          <cell r="A146" t="str">
            <v>17 OH PROGESTERONE - URINE</v>
          </cell>
        </row>
        <row r="147">
          <cell r="A147" t="str">
            <v>5 -HIAA</v>
          </cell>
        </row>
        <row r="148">
          <cell r="A148" t="str">
            <v>18 HYROXY CORTISOL</v>
          </cell>
        </row>
        <row r="149">
          <cell r="A149" t="str">
            <v>18 HYROXY CORTISOL (URINE)</v>
          </cell>
        </row>
        <row r="150">
          <cell r="A150" t="str">
            <v>ACE</v>
          </cell>
        </row>
        <row r="151">
          <cell r="A151" t="str">
            <v>ACTH</v>
          </cell>
        </row>
        <row r="152">
          <cell r="A152" t="str">
            <v>AFP (CSF)</v>
          </cell>
        </row>
        <row r="153">
          <cell r="A153" t="str">
            <v>ALBUMIN (URINE)</v>
          </cell>
        </row>
        <row r="154">
          <cell r="A154" t="str">
            <v>ALDOSTERONE</v>
          </cell>
        </row>
        <row r="155">
          <cell r="A155" t="str">
            <v>ALK PHOS ISOENZYMES</v>
          </cell>
        </row>
        <row r="156">
          <cell r="A156" t="str">
            <v>ALDOSTERONE/RENIN RATIO</v>
          </cell>
        </row>
        <row r="157">
          <cell r="A157" t="str">
            <v>ALPHA-1 ANTITRYPSIN</v>
          </cell>
        </row>
        <row r="158">
          <cell r="A158" t="str">
            <v>ALPHA-1 AT PHENOTYPE</v>
          </cell>
        </row>
        <row r="159">
          <cell r="A159" t="str">
            <v>AMMONIA</v>
          </cell>
        </row>
        <row r="160">
          <cell r="A160" t="str">
            <v>AMINO ACIDS (PLASMA)</v>
          </cell>
        </row>
        <row r="161">
          <cell r="A161" t="str">
            <v>AMINO ACIDS (URINE)</v>
          </cell>
        </row>
        <row r="162">
          <cell r="A162" t="str">
            <v>AMIODARONE</v>
          </cell>
        </row>
        <row r="163">
          <cell r="A163" t="str">
            <v>AMYLASE (FLUID)</v>
          </cell>
        </row>
        <row r="164">
          <cell r="A164" t="str">
            <v>ANDROSTENEDIONE (BLOOD SPOT)</v>
          </cell>
        </row>
        <row r="165">
          <cell r="A165" t="str">
            <v>ANDROSTENEDIONE (PLASMA)</v>
          </cell>
        </row>
        <row r="166">
          <cell r="A166" t="str">
            <v>BETA CAROTENE</v>
          </cell>
        </row>
        <row r="167">
          <cell r="A167" t="str">
            <v>BILE ACIDS</v>
          </cell>
        </row>
        <row r="168">
          <cell r="A168" t="str">
            <v>BILIRUBIN (URINE)</v>
          </cell>
        </row>
        <row r="169">
          <cell r="A169" t="str">
            <v>BUPRENORPHINE</v>
          </cell>
        </row>
        <row r="170">
          <cell r="A170" t="str">
            <v>C-PEPTIDE</v>
          </cell>
        </row>
        <row r="171">
          <cell r="A171" t="str">
            <v>CA 125</v>
          </cell>
        </row>
        <row r="172">
          <cell r="A172" t="str">
            <v>CA15-3</v>
          </cell>
        </row>
        <row r="173">
          <cell r="A173" t="str">
            <v>CA19-9</v>
          </cell>
        </row>
        <row r="174">
          <cell r="A174" t="str">
            <v>CAERULOPLASMIN</v>
          </cell>
        </row>
        <row r="175">
          <cell r="A175" t="str">
            <v>CALCITONIN</v>
          </cell>
        </row>
        <row r="176">
          <cell r="A176" t="str">
            <v>CALCIUM (URINE)</v>
          </cell>
        </row>
        <row r="177">
          <cell r="A177" t="str">
            <v>CARBOXYHAEMOGLOBIN</v>
          </cell>
        </row>
        <row r="178">
          <cell r="A178" t="str">
            <v>CEA</v>
          </cell>
        </row>
        <row r="179">
          <cell r="A179" t="str">
            <v>CHOLINESTERASE - PHENOTYPE</v>
          </cell>
        </row>
        <row r="180">
          <cell r="A180" t="str">
            <v>CHOLINESTERASE SCREEN</v>
          </cell>
        </row>
        <row r="181">
          <cell r="A181" t="str">
            <v>CHOLINESTERASE RED CELL</v>
          </cell>
        </row>
        <row r="182">
          <cell r="A182" t="str">
            <v>CITRATE (URINE)</v>
          </cell>
        </row>
        <row r="183">
          <cell r="A183" t="str">
            <v>CK-MB</v>
          </cell>
        </row>
        <row r="184">
          <cell r="A184" t="str">
            <v>CORTISOL (BLOOD SPOT)</v>
          </cell>
        </row>
        <row r="185">
          <cell r="A185" t="str">
            <v>CORTISOL (PLASMA)</v>
          </cell>
        </row>
        <row r="186">
          <cell r="A186" t="str">
            <v>CORTISOL (SALIVA)</v>
          </cell>
        </row>
        <row r="187">
          <cell r="A187" t="str">
            <v>CORTISOL (URINE)</v>
          </cell>
        </row>
        <row r="188">
          <cell r="A188" t="str">
            <v>CORTISOL (URINE)</v>
          </cell>
        </row>
        <row r="189">
          <cell r="A189" t="str">
            <v>CORTISONE (PLASMA)</v>
          </cell>
        </row>
        <row r="190">
          <cell r="A190" t="str">
            <v>CORTISONE (URINE)</v>
          </cell>
        </row>
        <row r="191">
          <cell r="A191" t="str">
            <v>COTININE (URINE)</v>
          </cell>
        </row>
        <row r="192">
          <cell r="A192" t="str">
            <v>COTININE (PLASMA)</v>
          </cell>
        </row>
        <row r="193">
          <cell r="A193" t="str">
            <v>CREATININE CLEARANCE</v>
          </cell>
        </row>
        <row r="194">
          <cell r="A194" t="str">
            <v>CREATININE URINE</v>
          </cell>
        </row>
        <row r="195">
          <cell r="A195" t="str">
            <v>CREATININE FLUID</v>
          </cell>
        </row>
        <row r="196">
          <cell r="A196" t="str">
            <v>CICLOSPORIN</v>
          </cell>
        </row>
        <row r="197">
          <cell r="A197" t="str">
            <v>CYSTINE</v>
          </cell>
        </row>
        <row r="198">
          <cell r="A198" t="str">
            <v>DEOXYPYRIDINOLINE (DPD) </v>
          </cell>
        </row>
        <row r="199">
          <cell r="A199" t="str">
            <v>DEOXYPYRIDINOLINE (DPD) </v>
          </cell>
        </row>
        <row r="200">
          <cell r="A200" t="str">
            <v>DHEA-SULPHATE</v>
          </cell>
        </row>
        <row r="201">
          <cell r="A201" t="str">
            <v>DRUG SCREEN</v>
          </cell>
        </row>
        <row r="202">
          <cell r="A202" t="str">
            <v>ETHANOL</v>
          </cell>
        </row>
        <row r="203">
          <cell r="A203" t="str">
            <v>FAECAL ELASTASE</v>
          </cell>
        </row>
        <row r="204">
          <cell r="A204" t="str">
            <v>FAECAL FAT</v>
          </cell>
        </row>
        <row r="205">
          <cell r="A205" t="str">
            <v>FAECAL REDUCING SUBSTANCES</v>
          </cell>
        </row>
        <row r="206">
          <cell r="A206" t="str">
            <v>REDUCING SUBSTANCES (URINE)</v>
          </cell>
        </row>
        <row r="207">
          <cell r="A207" t="str">
            <v>FREE FATTY ACIDS (PLASMA)</v>
          </cell>
        </row>
        <row r="208">
          <cell r="A208" t="str">
            <v>GASES (BLOOD)</v>
          </cell>
        </row>
        <row r="209">
          <cell r="A209" t="str">
            <v>SAMPLE HANDLING CHARGE</v>
          </cell>
        </row>
        <row r="210">
          <cell r="A210" t="str">
            <v>GENTAMICIN</v>
          </cell>
        </row>
        <row r="211">
          <cell r="A211" t="str">
            <v>GLUCOSE(CSF)</v>
          </cell>
        </row>
        <row r="212">
          <cell r="A212" t="str">
            <v>GLUCOSE (FLUID)</v>
          </cell>
        </row>
        <row r="213">
          <cell r="A213" t="str">
            <v>GLYCINE(CSF)</v>
          </cell>
        </row>
        <row r="214">
          <cell r="A214" t="str">
            <v>GROWTH HORMONE (SERUM)</v>
          </cell>
        </row>
        <row r="215">
          <cell r="A215" t="str">
            <v>GROWTH HORMONE (SERUM)</v>
          </cell>
        </row>
        <row r="216">
          <cell r="A216" t="str">
            <v>GUT PERMEABILITY</v>
          </cell>
        </row>
        <row r="217">
          <cell r="A217" t="str">
            <v>HAEM PIGMENTS (CSF)</v>
          </cell>
        </row>
        <row r="218">
          <cell r="A218" t="str">
            <v>HBA1c</v>
          </cell>
        </row>
        <row r="219">
          <cell r="A219" t="str">
            <v>HCG (CSF)</v>
          </cell>
        </row>
        <row r="220">
          <cell r="A220" t="str">
            <v>HOMOCYSTINE</v>
          </cell>
        </row>
        <row r="221">
          <cell r="A221" t="str">
            <v>HYALURONIC ACID</v>
          </cell>
        </row>
        <row r="222">
          <cell r="A222" t="str">
            <v>HYDROXYBUTYRATE</v>
          </cell>
        </row>
        <row r="223">
          <cell r="A223" t="str">
            <v>HYDROXYPROLINE</v>
          </cell>
        </row>
        <row r="224">
          <cell r="A224" t="str">
            <v>INSULIN</v>
          </cell>
        </row>
        <row r="225">
          <cell r="A225" t="str">
            <v>LACTATE (VENOUS PLASMA)</v>
          </cell>
        </row>
        <row r="226">
          <cell r="A226" t="str">
            <v>LDH (FLUID)</v>
          </cell>
        </row>
        <row r="227">
          <cell r="A227" t="str">
            <v>CHOLESTEROL</v>
          </cell>
        </row>
        <row r="228">
          <cell r="A228" t="str">
            <v>HDL CHOLESTEROL</v>
          </cell>
        </row>
        <row r="229">
          <cell r="A229" t="str">
            <v>TRIGLYCERIDES</v>
          </cell>
        </row>
        <row r="230">
          <cell r="A230" t="str">
            <v>APO- LIPOPROTEIN A-1</v>
          </cell>
        </row>
        <row r="231">
          <cell r="A231" t="str">
            <v>APO- LIPOPROTEIN B</v>
          </cell>
        </row>
        <row r="232">
          <cell r="A232" t="str">
            <v>LIPOPROTEIN (a)</v>
          </cell>
        </row>
        <row r="233">
          <cell r="A233" t="str">
            <v>LITHIUM</v>
          </cell>
        </row>
        <row r="234">
          <cell r="A234" t="str">
            <v>MAGNESIUM (RED CELL)</v>
          </cell>
        </row>
        <row r="235">
          <cell r="A235" t="str">
            <v>MAGNESIUM (URINE)</v>
          </cell>
        </row>
        <row r="236">
          <cell r="A236" t="str">
            <v>METHAEMALBUMIN</v>
          </cell>
        </row>
        <row r="237">
          <cell r="A237" t="str">
            <v>METHAEMOGLOBIN</v>
          </cell>
        </row>
        <row r="238">
          <cell r="A238" t="str">
            <v>METHOTREXATE</v>
          </cell>
        </row>
        <row r="239">
          <cell r="A239" t="str">
            <v>MICROSCOPY (FAECAL)</v>
          </cell>
        </row>
        <row r="240">
          <cell r="A240" t="str">
            <v>MUCOPOLYSACCHARIDE SCREEN</v>
          </cell>
        </row>
        <row r="241">
          <cell r="A241" t="str">
            <v>MYOGLOBIN (SERUM)</v>
          </cell>
        </row>
        <row r="242">
          <cell r="A242" t="str">
            <v>MYOGLOBIN (URINE)</v>
          </cell>
        </row>
        <row r="243">
          <cell r="A243" t="str">
            <v>NEUROBLASTOMA SCREEN</v>
          </cell>
        </row>
        <row r="244">
          <cell r="A244" t="str">
            <v>OCCULT BLOOD</v>
          </cell>
        </row>
        <row r="245">
          <cell r="A245" t="str">
            <v>OUT OF HOURS (EMERGENCY)</v>
          </cell>
        </row>
        <row r="246">
          <cell r="A246" t="str">
            <v>ORGANIC ACIDS (URINE)</v>
          </cell>
        </row>
        <row r="247">
          <cell r="A247" t="str">
            <v>AMINO ACIDS (URINE)/ORGANIC ACIDS (URINE)/ </v>
          </cell>
        </row>
        <row r="248">
          <cell r="A248" t="str">
            <v>OROTIC ACID</v>
          </cell>
        </row>
        <row r="249">
          <cell r="A249" t="str">
            <v>OSMOLALITY - URINE</v>
          </cell>
        </row>
        <row r="250">
          <cell r="A250" t="str">
            <v>OSMOLALITY - PLASMA</v>
          </cell>
        </row>
        <row r="251">
          <cell r="A251" t="str">
            <v>OXALATE (TIMED URINE)</v>
          </cell>
        </row>
        <row r="252">
          <cell r="A252" t="str">
            <v>PARAQUAT</v>
          </cell>
        </row>
        <row r="253">
          <cell r="A253" t="str">
            <v>OXALATE (RANDOM URINE)</v>
          </cell>
        </row>
        <row r="254">
          <cell r="A254" t="str">
            <v>PHAEOCHROMOCYTOMA SCREEN</v>
          </cell>
        </row>
        <row r="255">
          <cell r="A255" t="str">
            <v>PENTOBARBITONE</v>
          </cell>
        </row>
        <row r="256">
          <cell r="A256" t="str">
            <v>PHENYLALANINE</v>
          </cell>
        </row>
        <row r="257">
          <cell r="A257" t="str">
            <v>PHENYLALANINE</v>
          </cell>
        </row>
        <row r="258">
          <cell r="A258" t="str">
            <v>PHOSPHATE (URINE)</v>
          </cell>
        </row>
        <row r="259">
          <cell r="A259" t="str">
            <v>PORPHOBILINOGEN</v>
          </cell>
        </row>
        <row r="260">
          <cell r="A260" t="str">
            <v>POTASSIUM (URINE)</v>
          </cell>
        </row>
        <row r="261">
          <cell r="A261" t="str">
            <v>PREGNANCY TEST (URINE)</v>
          </cell>
        </row>
        <row r="262">
          <cell r="A262" t="str">
            <v>P3NP</v>
          </cell>
        </row>
        <row r="263">
          <cell r="A263" t="str">
            <v>PROTEIN CREATINE RATIO (URINE)</v>
          </cell>
        </row>
        <row r="264">
          <cell r="A264" t="str">
            <v>PROTEIN (URINE)</v>
          </cell>
        </row>
        <row r="265">
          <cell r="A265" t="str">
            <v>PROTEIN (CSF)</v>
          </cell>
        </row>
        <row r="266">
          <cell r="A266" t="str">
            <v>PROTEIN (FLUID)</v>
          </cell>
        </row>
        <row r="267">
          <cell r="A267" t="str">
            <v>PTH</v>
          </cell>
        </row>
        <row r="268">
          <cell r="A268" t="str">
            <v>RENIN</v>
          </cell>
        </row>
        <row r="269">
          <cell r="A269" t="str">
            <v>SHBG</v>
          </cell>
        </row>
        <row r="270">
          <cell r="A270" t="str">
            <v>SIROLIMUS</v>
          </cell>
        </row>
        <row r="271">
          <cell r="A271" t="str">
            <v>SODIUM (URINE)</v>
          </cell>
        </row>
        <row r="272">
          <cell r="A272" t="str">
            <v>IGF-1 SOMATOMEDIN C </v>
          </cell>
        </row>
        <row r="273">
          <cell r="A273" t="str">
            <v>STONE ANALYSIS - FTIR</v>
          </cell>
        </row>
        <row r="274">
          <cell r="A274" t="str">
            <v>SUGAR CHROMATOGRAPHY FAECAL</v>
          </cell>
        </row>
        <row r="275">
          <cell r="A275" t="str">
            <v>SUGAR CHROMATOGRAPHY URINE</v>
          </cell>
        </row>
        <row r="276">
          <cell r="A276" t="str">
            <v>SWEAT TEST</v>
          </cell>
        </row>
        <row r="277">
          <cell r="A277" t="str">
            <v>TESTOSTERONE</v>
          </cell>
        </row>
        <row r="278">
          <cell r="A278" t="str">
            <v>THYROGLOBULIN</v>
          </cell>
        </row>
        <row r="279">
          <cell r="A279" t="str">
            <v>THYROGLOBULIN ANTIBODIES</v>
          </cell>
        </row>
        <row r="280">
          <cell r="A280" t="str">
            <v>THYROGLOBULIN TITRE </v>
          </cell>
        </row>
        <row r="281">
          <cell r="A281" t="str">
            <v>TOBRAMYCIN</v>
          </cell>
        </row>
        <row r="282">
          <cell r="A282" t="str">
            <v>TPMT</v>
          </cell>
        </row>
        <row r="283">
          <cell r="A283" t="str">
            <v>TROPONIN - I</v>
          </cell>
        </row>
        <row r="284">
          <cell r="A284" t="str">
            <v>URINE  ANALYSIS</v>
          </cell>
        </row>
        <row r="285">
          <cell r="A285" t="str">
            <v>UREA (URINE)</v>
          </cell>
        </row>
        <row r="286">
          <cell r="A286" t="str">
            <v>URATE (URINE)</v>
          </cell>
        </row>
        <row r="287">
          <cell r="A287" t="str">
            <v>UROBILINOGEN</v>
          </cell>
        </row>
        <row r="288">
          <cell r="A288" t="str">
            <v>UROPORPHYRIN</v>
          </cell>
        </row>
        <row r="289">
          <cell r="A289" t="str">
            <v>VANCOMYCIN</v>
          </cell>
        </row>
        <row r="290">
          <cell r="A290" t="str">
            <v>VITAMIN A (PLASMA)</v>
          </cell>
        </row>
        <row r="291">
          <cell r="A291" t="str">
            <v>VITAMIN A &amp; E (PLASMA)</v>
          </cell>
        </row>
        <row r="292">
          <cell r="A292" t="str">
            <v>VITAMIN C</v>
          </cell>
        </row>
        <row r="293">
          <cell r="A293" t="str">
            <v>VITAMIN D (25OHCC)</v>
          </cell>
        </row>
        <row r="294">
          <cell r="A294" t="str">
            <v>TACROLIMUS</v>
          </cell>
        </row>
        <row r="295">
          <cell r="A295" t="str">
            <v>VITAMIN D (25OHCC)</v>
          </cell>
        </row>
        <row r="296">
          <cell r="A296" t="str">
            <v>VITAMIN E (PLASMA)</v>
          </cell>
        </row>
        <row r="297">
          <cell r="A297" t="str">
            <v>VITAMINS A E &amp; D IGF1</v>
          </cell>
        </row>
        <row r="298">
          <cell r="A298" t="str">
            <v>DOXEPIN</v>
          </cell>
        </row>
        <row r="299">
          <cell r="A299" t="str">
            <v>CYSTINE / CREATININE</v>
          </cell>
        </row>
        <row r="300">
          <cell r="A300" t="str">
            <v>TSH RECEPTOR ANTIBODIES</v>
          </cell>
        </row>
        <row r="301">
          <cell r="A301" t="str">
            <v>Clinical Biochemistry</v>
          </cell>
        </row>
        <row r="302">
          <cell r="A302" t="str">
            <v>RENAL PROFILE</v>
          </cell>
        </row>
        <row r="303">
          <cell r="A303" t="str">
            <v>BONE PROFILE</v>
          </cell>
        </row>
        <row r="304">
          <cell r="A304" t="str">
            <v>LIVER PROFILE</v>
          </cell>
        </row>
        <row r="305">
          <cell r="A305" t="str">
            <v>TPN PROFILE</v>
          </cell>
        </row>
        <row r="306">
          <cell r="A306" t="str">
            <v>AFP</v>
          </cell>
        </row>
        <row r="307">
          <cell r="A307" t="str">
            <v>AMYLASE</v>
          </cell>
        </row>
        <row r="308">
          <cell r="A308" t="str">
            <v>AST</v>
          </cell>
        </row>
        <row r="309">
          <cell r="A309" t="str">
            <v>BICARBONATE</v>
          </cell>
        </row>
        <row r="310">
          <cell r="A310" t="str">
            <v>BILIRUBIN - DIRECT</v>
          </cell>
        </row>
        <row r="311">
          <cell r="A311" t="str">
            <v>BILIRUBIN - NEONATAL</v>
          </cell>
        </row>
        <row r="312">
          <cell r="A312" t="str">
            <v>CARBAMAZEPINE</v>
          </cell>
        </row>
        <row r="313">
          <cell r="A313" t="str">
            <v>CHLORIDE</v>
          </cell>
        </row>
        <row r="314">
          <cell r="A314" t="str">
            <v>CHOLESTEROL</v>
          </cell>
        </row>
        <row r="315">
          <cell r="A315" t="str">
            <v>CK</v>
          </cell>
        </row>
        <row r="316">
          <cell r="A316" t="str">
            <v>C-REACTIVE PROTEIN</v>
          </cell>
        </row>
        <row r="317">
          <cell r="A317" t="str">
            <v>DIGOXIN</v>
          </cell>
        </row>
        <row r="318">
          <cell r="A318" t="str">
            <v>FERRITIN</v>
          </cell>
        </row>
        <row r="319">
          <cell r="A319" t="str">
            <v>FOLATE (PLASMA)</v>
          </cell>
        </row>
        <row r="320">
          <cell r="A320" t="str">
            <v>FREE T3</v>
          </cell>
        </row>
        <row r="321">
          <cell r="A321" t="str">
            <v>FREE T4</v>
          </cell>
        </row>
        <row r="322">
          <cell r="A322" t="str">
            <v>FSH</v>
          </cell>
        </row>
        <row r="323">
          <cell r="A323" t="str">
            <v>GAMMA GT</v>
          </cell>
        </row>
        <row r="324">
          <cell r="A324" t="str">
            <v>GLUCOSE</v>
          </cell>
        </row>
        <row r="325">
          <cell r="A325" t="str">
            <v>hCG </v>
          </cell>
        </row>
        <row r="326">
          <cell r="A326" t="str">
            <v>HDL CHOLESTEROL</v>
          </cell>
        </row>
        <row r="327">
          <cell r="A327" t="str">
            <v>IRON</v>
          </cell>
        </row>
        <row r="328">
          <cell r="A328" t="str">
            <v>LDH</v>
          </cell>
        </row>
        <row r="329">
          <cell r="A329" t="str">
            <v>LH</v>
          </cell>
        </row>
        <row r="330">
          <cell r="A330" t="str">
            <v>MAGNESIUM</v>
          </cell>
        </row>
        <row r="331">
          <cell r="A331" t="str">
            <v>OESTRADIOL</v>
          </cell>
        </row>
        <row r="332">
          <cell r="A332" t="str">
            <v>PARACETAMOL</v>
          </cell>
        </row>
        <row r="333">
          <cell r="A333" t="str">
            <v>PHENOBARBITONE</v>
          </cell>
        </row>
        <row r="334">
          <cell r="A334" t="str">
            <v>PHENYTOIN</v>
          </cell>
        </row>
        <row r="335">
          <cell r="A335" t="str">
            <v>PHOSPHATE</v>
          </cell>
        </row>
        <row r="336">
          <cell r="A336" t="str">
            <v>PROGESTERONE</v>
          </cell>
        </row>
        <row r="337">
          <cell r="A337" t="str">
            <v>PROLACTIN</v>
          </cell>
        </row>
        <row r="338">
          <cell r="A338" t="str">
            <v>PSA</v>
          </cell>
        </row>
        <row r="339">
          <cell r="A339" t="str">
            <v>SALICYLATE</v>
          </cell>
        </row>
        <row r="340">
          <cell r="A340" t="str">
            <v>THEOPHYLLINE</v>
          </cell>
        </row>
        <row r="341">
          <cell r="A341" t="str">
            <v>TRANSFERRIN</v>
          </cell>
        </row>
        <row r="342">
          <cell r="A342" t="str">
            <v>TRIGLYCERIDES</v>
          </cell>
        </row>
        <row r="343">
          <cell r="A343" t="str">
            <v>TROPONIN - I</v>
          </cell>
        </row>
        <row r="344">
          <cell r="A344" t="str">
            <v>TSH</v>
          </cell>
        </row>
        <row r="345">
          <cell r="A345" t="str">
            <v>URATE</v>
          </cell>
        </row>
        <row r="346">
          <cell r="A346" t="str">
            <v>VALPROATE</v>
          </cell>
        </row>
        <row r="347">
          <cell r="A347" t="str">
            <v>VITAMIN B 12</v>
          </cell>
        </row>
        <row r="348">
          <cell r="A348" t="str">
            <v>Trace Elements</v>
          </cell>
        </row>
        <row r="349">
          <cell r="A349" t="str">
            <v>ALUMINIUM (OTHER)</v>
          </cell>
        </row>
        <row r="350">
          <cell r="A350" t="str">
            <v>ALUMINIUM (PLASMA)</v>
          </cell>
        </row>
        <row r="351">
          <cell r="A351" t="str">
            <v>ALUMINIUM (URINE)</v>
          </cell>
        </row>
        <row r="352">
          <cell r="A352" t="str">
            <v>ANTIMONY (BLOOD)</v>
          </cell>
        </row>
        <row r="353">
          <cell r="A353" t="str">
            <v>ANTIMONY (not reported)</v>
          </cell>
        </row>
        <row r="354">
          <cell r="A354" t="str">
            <v>ANTIMONY (OTHER)</v>
          </cell>
        </row>
        <row r="355">
          <cell r="A355" t="str">
            <v>ANTIMONY (PLASMA)</v>
          </cell>
        </row>
        <row r="356">
          <cell r="A356" t="str">
            <v>ANTIMONY (URINE)</v>
          </cell>
        </row>
        <row r="357">
          <cell r="A357" t="str">
            <v>ARSENIC (BLOOD)</v>
          </cell>
        </row>
        <row r="358">
          <cell r="A358" t="str">
            <v>ARSENIC (OTHER)</v>
          </cell>
        </row>
        <row r="359">
          <cell r="A359" t="str">
            <v>ARSENIC (URINE)</v>
          </cell>
        </row>
        <row r="360">
          <cell r="A360" t="str">
            <v>BARIUM (OTHER)</v>
          </cell>
        </row>
        <row r="361">
          <cell r="A361" t="str">
            <v>BARIUM (PLASMA)</v>
          </cell>
        </row>
        <row r="362">
          <cell r="A362" t="str">
            <v>BARIUM (URINE)</v>
          </cell>
        </row>
        <row r="363">
          <cell r="A363" t="str">
            <v>BERYLLIUM (OTHER)</v>
          </cell>
        </row>
        <row r="364">
          <cell r="A364" t="str">
            <v>BERYLLIUM (PLASMA)</v>
          </cell>
        </row>
        <row r="365">
          <cell r="A365" t="str">
            <v>BERYLLIUM (URINE)</v>
          </cell>
        </row>
        <row r="366">
          <cell r="A366" t="str">
            <v>BISMUTH (BLOOD)</v>
          </cell>
        </row>
        <row r="367">
          <cell r="A367" t="str">
            <v>BISMUTH (OTHER)</v>
          </cell>
        </row>
        <row r="368">
          <cell r="A368" t="str">
            <v>BISMUTH (URINE)</v>
          </cell>
        </row>
        <row r="369">
          <cell r="A369" t="str">
            <v>BORON  (PLASMA)</v>
          </cell>
        </row>
        <row r="370">
          <cell r="A370" t="str">
            <v>BORON (URINE)</v>
          </cell>
        </row>
        <row r="371">
          <cell r="A371" t="str">
            <v>CADMIUM (BLOOD)</v>
          </cell>
        </row>
        <row r="372">
          <cell r="A372" t="str">
            <v>CADMIUM (none reportable)</v>
          </cell>
        </row>
        <row r="373">
          <cell r="A373" t="str">
            <v>CADMIUM (OTHER)</v>
          </cell>
        </row>
        <row r="374">
          <cell r="A374" t="str">
            <v>CADMIUM (URINE)</v>
          </cell>
        </row>
        <row r="375">
          <cell r="A375" t="str">
            <v>CHROMIUM (BLOOD)</v>
          </cell>
        </row>
        <row r="376">
          <cell r="A376" t="str">
            <v>CHROMIUM (non report)</v>
          </cell>
        </row>
        <row r="377">
          <cell r="A377" t="str">
            <v>CHROMIUM (OTHER)</v>
          </cell>
        </row>
        <row r="378">
          <cell r="A378" t="str">
            <v>CHROMIUM (PLASMA)</v>
          </cell>
        </row>
        <row r="379">
          <cell r="A379" t="str">
            <v>CHROMIUM (URINE)</v>
          </cell>
        </row>
        <row r="380">
          <cell r="A380" t="str">
            <v>COBALT (BLOOD)</v>
          </cell>
        </row>
        <row r="381">
          <cell r="A381" t="str">
            <v>COBALT (OTHER)</v>
          </cell>
        </row>
        <row r="382">
          <cell r="A382" t="str">
            <v>COBALT (PLASMA)</v>
          </cell>
        </row>
        <row r="383">
          <cell r="A383" t="str">
            <v>COBALT (URINE)</v>
          </cell>
        </row>
        <row r="384">
          <cell r="A384" t="str">
            <v>COPPER</v>
          </cell>
        </row>
        <row r="385">
          <cell r="A385" t="str">
            <v>COPPER (24 HOUR URINE)</v>
          </cell>
        </row>
        <row r="386">
          <cell r="A386" t="str">
            <v>COPPER (LIVER)</v>
          </cell>
        </row>
        <row r="387">
          <cell r="A387" t="str">
            <v>COPPER (OTHER)</v>
          </cell>
        </row>
        <row r="388">
          <cell r="A388" t="str">
            <v>COPPER (PLASMA)</v>
          </cell>
        </row>
        <row r="389">
          <cell r="A389" t="str">
            <v>COPPER (URINE)</v>
          </cell>
        </row>
        <row r="390">
          <cell r="A390" t="str">
            <v>GOLD (OTHER)</v>
          </cell>
        </row>
        <row r="391">
          <cell r="A391" t="str">
            <v>GOLD (PLASMA)</v>
          </cell>
        </row>
        <row r="392">
          <cell r="A392" t="str">
            <v>GOLD (URINE)</v>
          </cell>
        </row>
        <row r="393">
          <cell r="A393" t="str">
            <v>IODINE</v>
          </cell>
        </row>
        <row r="394">
          <cell r="A394" t="str">
            <v>IODINE (PLASMA)</v>
          </cell>
        </row>
        <row r="395">
          <cell r="A395" t="str">
            <v>IRON (LIVER)</v>
          </cell>
        </row>
        <row r="396">
          <cell r="A396" t="str">
            <v>IRON (OTHER)</v>
          </cell>
        </row>
        <row r="397">
          <cell r="A397" t="str">
            <v>IRON (URINE)</v>
          </cell>
        </row>
        <row r="398">
          <cell r="A398" t="str">
            <v>LEAD (BLOOD)</v>
          </cell>
        </row>
        <row r="399">
          <cell r="A399" t="str">
            <v>LEAD (non reportable)</v>
          </cell>
        </row>
        <row r="400">
          <cell r="A400" t="str">
            <v>LEAD (OTHER)</v>
          </cell>
        </row>
        <row r="401">
          <cell r="A401" t="str">
            <v>LEAD (URINE)</v>
          </cell>
        </row>
        <row r="402">
          <cell r="A402" t="str">
            <v>MANGANESE (BLOOD)</v>
          </cell>
        </row>
        <row r="403">
          <cell r="A403" t="str">
            <v>MANGANESE (OTHER)</v>
          </cell>
        </row>
        <row r="404">
          <cell r="A404" t="str">
            <v>MANGANESE (URINE)</v>
          </cell>
        </row>
        <row r="405">
          <cell r="A405" t="str">
            <v>MERCURY (BLOOD)</v>
          </cell>
        </row>
        <row r="406">
          <cell r="A406" t="str">
            <v>MERCURY (OTHER)</v>
          </cell>
        </row>
        <row r="407">
          <cell r="A407" t="str">
            <v>MERCURY (URINE)</v>
          </cell>
        </row>
        <row r="408">
          <cell r="A408" t="str">
            <v>MOLYBDENUM (BLOOD)</v>
          </cell>
        </row>
        <row r="409">
          <cell r="A409" t="str">
            <v>MOLYBDENUM (OTHER)</v>
          </cell>
        </row>
        <row r="410">
          <cell r="A410" t="str">
            <v>MOLYBDENUM (PLASMA)</v>
          </cell>
        </row>
        <row r="411">
          <cell r="A411" t="str">
            <v>MOLYBDENUM (URINE)</v>
          </cell>
        </row>
        <row r="412">
          <cell r="A412" t="str">
            <v>NICKEL (OTHER)</v>
          </cell>
        </row>
        <row r="413">
          <cell r="A413" t="str">
            <v>NICKEL (PLASMA)</v>
          </cell>
        </row>
        <row r="414">
          <cell r="A414" t="str">
            <v>NICKEL (URINE)</v>
          </cell>
        </row>
        <row r="415">
          <cell r="A415" t="str">
            <v>PLATINUM (BLOOD)</v>
          </cell>
        </row>
        <row r="416">
          <cell r="A416" t="str">
            <v>PLATINUM (OTHER)</v>
          </cell>
        </row>
        <row r="417">
          <cell r="A417" t="str">
            <v>PLATINUM (URINE)</v>
          </cell>
        </row>
        <row r="418">
          <cell r="A418" t="str">
            <v>SELENIUM</v>
          </cell>
        </row>
        <row r="419">
          <cell r="A419" t="str">
            <v>SELENIUM  (PLASMA)</v>
          </cell>
        </row>
        <row r="420">
          <cell r="A420" t="str">
            <v>SELENIUM (OTHER)</v>
          </cell>
        </row>
        <row r="421">
          <cell r="A421" t="str">
            <v>SELENIUM (URINE)</v>
          </cell>
        </row>
        <row r="422">
          <cell r="A422" t="str">
            <v>SILICON (OTHER)</v>
          </cell>
        </row>
        <row r="423">
          <cell r="A423" t="str">
            <v>SILICON (PLASMA)</v>
          </cell>
        </row>
        <row r="424">
          <cell r="A424" t="str">
            <v>SILICON (URINE)</v>
          </cell>
        </row>
        <row r="425">
          <cell r="A425" t="str">
            <v>SILVER </v>
          </cell>
        </row>
        <row r="426">
          <cell r="A426" t="str">
            <v>SILVER (BLOOD)</v>
          </cell>
        </row>
        <row r="427">
          <cell r="A427" t="str">
            <v>SILVER (OTHER)</v>
          </cell>
        </row>
        <row r="428">
          <cell r="A428" t="str">
            <v>SILVER (URINE)</v>
          </cell>
        </row>
        <row r="429">
          <cell r="A429" t="str">
            <v>STRONTIUM (OTHER)</v>
          </cell>
        </row>
        <row r="430">
          <cell r="A430" t="str">
            <v>STRONTIUM (PLASMA)</v>
          </cell>
        </row>
        <row r="431">
          <cell r="A431" t="str">
            <v>STRONTIUM (URINE)</v>
          </cell>
        </row>
        <row r="432">
          <cell r="A432" t="str">
            <v>TELLURIUM (BLOOD)</v>
          </cell>
        </row>
        <row r="433">
          <cell r="A433" t="str">
            <v>TELLURIUM (OTHER)</v>
          </cell>
        </row>
        <row r="434">
          <cell r="A434" t="str">
            <v>TELLURIUM (PLASMA)</v>
          </cell>
        </row>
        <row r="435">
          <cell r="A435" t="str">
            <v>TELLURIUM (URINE)</v>
          </cell>
        </row>
        <row r="436">
          <cell r="A436" t="str">
            <v>THALLIUM (BLOOD)</v>
          </cell>
        </row>
        <row r="437">
          <cell r="A437" t="str">
            <v>THALLIUM (URINE)</v>
          </cell>
        </row>
        <row r="438">
          <cell r="A438" t="str">
            <v>TIN (BLOOD)</v>
          </cell>
        </row>
        <row r="439">
          <cell r="A439" t="str">
            <v>TIN (OTHER)</v>
          </cell>
        </row>
        <row r="440">
          <cell r="A440" t="str">
            <v>TIN (PLASMA)</v>
          </cell>
        </row>
        <row r="441">
          <cell r="A441" t="str">
            <v>TIN (URINE)</v>
          </cell>
        </row>
        <row r="442">
          <cell r="A442" t="str">
            <v>TITANIUM (OTHER)</v>
          </cell>
        </row>
        <row r="443">
          <cell r="A443" t="str">
            <v>TITANIUM (PLASMA)</v>
          </cell>
        </row>
        <row r="444">
          <cell r="A444" t="str">
            <v>TITANIUM (URINE)</v>
          </cell>
        </row>
        <row r="445">
          <cell r="A445" t="str">
            <v>TUNGSTEN (PLASMA)</v>
          </cell>
        </row>
        <row r="446">
          <cell r="A446" t="str">
            <v>TUNGSTEN (URINE)</v>
          </cell>
        </row>
        <row r="447">
          <cell r="A447" t="str">
            <v>URANIUM (URINE not reported)</v>
          </cell>
        </row>
        <row r="448">
          <cell r="A448" t="str">
            <v>URANIUM (URINE)</v>
          </cell>
        </row>
        <row r="449">
          <cell r="A449" t="str">
            <v>VANADIUM (OTHER)</v>
          </cell>
        </row>
        <row r="450">
          <cell r="A450" t="str">
            <v>VANADIUM (PLASMA)</v>
          </cell>
        </row>
        <row r="451">
          <cell r="A451" t="str">
            <v>VANADIUM (URINE)</v>
          </cell>
        </row>
        <row r="452">
          <cell r="A452" t="str">
            <v>ZINC (BLOOD)</v>
          </cell>
        </row>
        <row r="453">
          <cell r="A453" t="str">
            <v>ZINC (OTHER)</v>
          </cell>
        </row>
        <row r="454">
          <cell r="A454" t="str">
            <v>ZINC (PLASMA)</v>
          </cell>
        </row>
        <row r="455">
          <cell r="A455" t="str">
            <v>ZINC (URINE)</v>
          </cell>
        </row>
        <row r="456">
          <cell r="A456" t="str">
            <v>COBALT &amp; CHROMIUM (BLOOD)</v>
          </cell>
        </row>
        <row r="457">
          <cell r="A457" t="str">
            <v>COBALT &amp; CHROMIUM (PLASMA)</v>
          </cell>
        </row>
        <row r="458">
          <cell r="A458" t="str">
            <v>COPPER + ZINC (PLASMA)</v>
          </cell>
        </row>
        <row r="459">
          <cell r="A459" t="str">
            <v>COPPER + ZINC + SELENIUM (PLASMA)</v>
          </cell>
        </row>
        <row r="460">
          <cell r="A460" t="str">
            <v>COPPER + ZINC + SELENIUM (PLASMA)</v>
          </cell>
        </row>
        <row r="461">
          <cell r="A461" t="str">
            <v>TOXIC SCREEN (ALL METALS (BLOOD/URIINE)</v>
          </cell>
        </row>
        <row r="462">
          <cell r="A462" t="str">
            <v>TOXIC SCREEN (ALL METALS (BLOOD/URIINE)</v>
          </cell>
        </row>
        <row r="463">
          <cell r="A463" t="str">
            <v>LEAD ISOTOPES RATIO (BLOOD/SOURCES OF LEAD)</v>
          </cell>
        </row>
        <row r="464">
          <cell r="A464" t="str">
            <v>HAEMATOLOGY</v>
          </cell>
        </row>
        <row r="465">
          <cell r="A465" t="str">
            <v>FULL BLOOD COUNT</v>
          </cell>
        </row>
        <row r="466">
          <cell r="A466" t="str">
            <v>FILM</v>
          </cell>
        </row>
        <row r="467">
          <cell r="A467" t="str">
            <v>ESR</v>
          </cell>
        </row>
        <row r="468">
          <cell r="A468" t="str">
            <v>MALARIAL SCREEN</v>
          </cell>
        </row>
        <row r="469">
          <cell r="A469" t="str">
            <v>IM SCREEN</v>
          </cell>
        </row>
        <row r="470">
          <cell r="A470" t="str">
            <v>CLOTTING SCREEN</v>
          </cell>
        </row>
        <row r="471">
          <cell r="A471" t="str">
            <v>ACTIVATED PARTIAL THROMBOPLASTIN TIME</v>
          </cell>
        </row>
        <row r="472">
          <cell r="A472" t="str">
            <v>INR - INTERNATIONAL NORMALISED RATIO</v>
          </cell>
        </row>
        <row r="473">
          <cell r="A473" t="str">
            <v>D-DIMER ASSAY</v>
          </cell>
        </row>
        <row r="474">
          <cell r="A474" t="str">
            <v>HAEMOGLOBIN ELECTROPHORESIS (HPLC)</v>
          </cell>
        </row>
        <row r="475">
          <cell r="A475" t="str">
            <v>ABSOLUTE RETICULOCYTES</v>
          </cell>
        </row>
        <row r="476">
          <cell r="A476" t="str">
            <v>ACID ELUTION (EOSIN)</v>
          </cell>
        </row>
        <row r="477">
          <cell r="A477" t="str">
            <v>ACID ELUTION (GEIMSA)</v>
          </cell>
        </row>
        <row r="478">
          <cell r="A478" t="str">
            <v>AGAR GEL ELECTROPHORESIS</v>
          </cell>
        </row>
        <row r="479">
          <cell r="A479" t="str">
            <v>ASCITIC FLUID WHITW COUNT</v>
          </cell>
        </row>
        <row r="480">
          <cell r="A480" t="str">
            <v>AUTOHAEMOLOGYSIS</v>
          </cell>
        </row>
        <row r="481">
          <cell r="A481" t="str">
            <v>AUTOHAEMOLOGYSIS (GLUCOSE)</v>
          </cell>
        </row>
        <row r="482">
          <cell r="A482" t="str">
            <v>BONE MARROW PROCESSING</v>
          </cell>
        </row>
        <row r="483">
          <cell r="A483" t="str">
            <v>BONE MARROW TREPHINE PROCESSING</v>
          </cell>
        </row>
        <row r="484">
          <cell r="A484" t="str">
            <v>CHEMILUMINESCENCE TEST (NBS)</v>
          </cell>
        </row>
        <row r="485">
          <cell r="A485" t="str">
            <v>CITRATE KAOLIN TEG</v>
          </cell>
        </row>
        <row r="486">
          <cell r="A486" t="str">
            <v>CYTOSPIN</v>
          </cell>
        </row>
        <row r="487">
          <cell r="A487" t="str">
            <v>D EPITOPES</v>
          </cell>
        </row>
        <row r="488">
          <cell r="A488" t="str">
            <v>DIFFERENTIAL COUNT (MANUAL)</v>
          </cell>
        </row>
        <row r="489">
          <cell r="A489" t="str">
            <v>DOUBLE ESTERASE</v>
          </cell>
        </row>
        <row r="490">
          <cell r="A490" t="str">
            <v>FBC (RSH)</v>
          </cell>
        </row>
        <row r="491">
          <cell r="A491" t="str">
            <v>G6PD ASSAY</v>
          </cell>
        </row>
        <row r="492">
          <cell r="A492" t="str">
            <v>G6PD SCREEN</v>
          </cell>
        </row>
        <row r="493">
          <cell r="A493" t="str">
            <v>GENOTYPE</v>
          </cell>
        </row>
        <row r="494">
          <cell r="A494" t="str">
            <v>GLOBULIN CHAIN ELECTROPHORESIS</v>
          </cell>
        </row>
        <row r="495">
          <cell r="A495" t="str">
            <v>GLUTATHIONE ASSAY</v>
          </cell>
        </row>
        <row r="496">
          <cell r="A496" t="str">
            <v>HAEMOGLOBIN A2 ASSAY</v>
          </cell>
        </row>
        <row r="497">
          <cell r="A497" t="str">
            <v>HAEMOGLOBIN C ASSAY</v>
          </cell>
        </row>
        <row r="498">
          <cell r="A498" t="str">
            <v>HAEMOGLOBIN D ASSAY</v>
          </cell>
        </row>
        <row r="499">
          <cell r="A499" t="str">
            <v>HAEMOGLOBIN E ASSAY</v>
          </cell>
        </row>
        <row r="500">
          <cell r="A500" t="str">
            <v>HAEMOGLOBIN F ASSAY</v>
          </cell>
        </row>
        <row r="501">
          <cell r="A501" t="str">
            <v>HAEMOGLOBIN H BODIES</v>
          </cell>
        </row>
        <row r="502">
          <cell r="A502" t="str">
            <v>HAEMOGLOBIN S ASSAY</v>
          </cell>
        </row>
        <row r="503">
          <cell r="A503" t="str">
            <v>HAMM'S TEST</v>
          </cell>
        </row>
        <row r="504">
          <cell r="A504" t="str">
            <v>HEINZ BODIES</v>
          </cell>
        </row>
        <row r="505">
          <cell r="A505" t="str">
            <v>MALARIAL KIT</v>
          </cell>
        </row>
        <row r="506">
          <cell r="A506" t="str">
            <v>OSMOTIC FRAGILITY (FRESH)</v>
          </cell>
        </row>
        <row r="507">
          <cell r="A507" t="str">
            <v>OSMOTIC FRAGILITY (INCUBATED)</v>
          </cell>
        </row>
        <row r="508">
          <cell r="A508" t="str">
            <v>PLEURAL ASPIRATE</v>
          </cell>
        </row>
        <row r="509">
          <cell r="A509" t="str">
            <v>PYRUVATE KINASE SCREEN</v>
          </cell>
        </row>
        <row r="510">
          <cell r="A510" t="str">
            <v>RED CELL PORPHYRINS</v>
          </cell>
        </row>
        <row r="511">
          <cell r="A511" t="str">
            <v>SHUMM'S TEST</v>
          </cell>
        </row>
        <row r="512">
          <cell r="A512" t="str">
            <v>SICKLE SCREEN (confirm sickledex)</v>
          </cell>
        </row>
        <row r="513">
          <cell r="A513" t="str">
            <v>SOLUBLE TRANSFERIN RECEPTOR</v>
          </cell>
        </row>
        <row r="514">
          <cell r="A514" t="str">
            <v>SUDAN BLACK STAIN</v>
          </cell>
        </row>
        <row r="515">
          <cell r="A515" t="str">
            <v>URINARY HAEMOSIDERIN /IRON STAIN</v>
          </cell>
        </row>
        <row r="516">
          <cell r="A516" t="str">
            <v>ANTITHROMBIN III ASSAY</v>
          </cell>
        </row>
        <row r="517">
          <cell r="A517" t="str">
            <v>APTR (50:50 CORRECTION)</v>
          </cell>
        </row>
        <row r="518">
          <cell r="A518" t="str">
            <v>BLEEDING TIME (IN VITRO)</v>
          </cell>
        </row>
        <row r="519">
          <cell r="A519" t="str">
            <v>BLEEDING TIME (IN VIVO)</v>
          </cell>
        </row>
        <row r="520">
          <cell r="A520" t="str">
            <v>FACTOR II ASSAY</v>
          </cell>
        </row>
        <row r="521">
          <cell r="A521" t="str">
            <v>FACTOR IX ASSAY</v>
          </cell>
        </row>
        <row r="522">
          <cell r="A522" t="str">
            <v>FACTOR IX INHIBITOR ASSAY (if this is inhib assay price is very wrong)</v>
          </cell>
        </row>
        <row r="523">
          <cell r="A523" t="str">
            <v>FACTOR V ASSAY</v>
          </cell>
        </row>
        <row r="524">
          <cell r="A524" t="str">
            <v>FACTOR VII ASSAY</v>
          </cell>
        </row>
        <row r="525">
          <cell r="A525" t="str">
            <v>FACTOR VIII ASSAY</v>
          </cell>
        </row>
        <row r="526">
          <cell r="A526" t="str">
            <v>FACTOR VIII INHIBITOR (if this is inhib assay -price is very wrong)</v>
          </cell>
        </row>
        <row r="527">
          <cell r="A527" t="str">
            <v>FACTOR X ASSAY</v>
          </cell>
        </row>
        <row r="528">
          <cell r="A528" t="str">
            <v>FACTOR XI ASSAY</v>
          </cell>
        </row>
        <row r="529">
          <cell r="A529" t="str">
            <v>FACTOR XII ASSAY</v>
          </cell>
        </row>
        <row r="530">
          <cell r="A530" t="str">
            <v>FACTOR XIII ASSAY</v>
          </cell>
        </row>
        <row r="531">
          <cell r="A531" t="str">
            <v>FACTOR XIII SCREEN</v>
          </cell>
        </row>
        <row r="532">
          <cell r="A532" t="str">
            <v>FIBRIN DEGRADATION PRODUCTS</v>
          </cell>
        </row>
        <row r="533">
          <cell r="A533" t="str">
            <v>FIBRINOGEN (ANTIGEN)</v>
          </cell>
        </row>
        <row r="534">
          <cell r="A534" t="str">
            <v>HEPARIN</v>
          </cell>
        </row>
        <row r="535">
          <cell r="A535" t="str">
            <v>HEPARIN ANTI-Xa ASSAY</v>
          </cell>
        </row>
        <row r="536">
          <cell r="A536" t="str">
            <v>INHIBITOR SCREEN</v>
          </cell>
        </row>
        <row r="537">
          <cell r="A537" t="str">
            <v>INR (50:50 CORRECTION)</v>
          </cell>
        </row>
        <row r="538">
          <cell r="A538" t="str">
            <v>LUPUS-LIKE ANTOCOAGULANT</v>
          </cell>
        </row>
        <row r="539">
          <cell r="A539" t="str">
            <v>PLASMINOGEN ASSAY</v>
          </cell>
        </row>
        <row r="540">
          <cell r="A540" t="str">
            <v>PLASMONOGEN ACTIVATOR INHIBITOR</v>
          </cell>
        </row>
        <row r="541">
          <cell r="A541" t="str">
            <v>PLATELET FUNCTION ANALYSIS (PFA100)</v>
          </cell>
        </row>
        <row r="542">
          <cell r="A542" t="str">
            <v>PLATLET AGGREGATION &amp; RISTOCETIN INDUCED PLATLET AGGREGATION</v>
          </cell>
        </row>
        <row r="543">
          <cell r="A543" t="str">
            <v>POST-OCCLUSION PLASMINOGEN ACTIVATOR ASSAY</v>
          </cell>
        </row>
        <row r="544">
          <cell r="A544" t="str">
            <v>PRE-OCCLUSION PLASMINOGEN ACTIVATOR ASSAY</v>
          </cell>
        </row>
        <row r="545">
          <cell r="A545" t="str">
            <v>PROTEIN C ASSAY</v>
          </cell>
        </row>
        <row r="546">
          <cell r="A546" t="str">
            <v>PROTEIN S (FREE ANTIGEN)</v>
          </cell>
        </row>
        <row r="547">
          <cell r="A547" t="str">
            <v>RISTIOCETIN CO-FACTOR ASSAY</v>
          </cell>
        </row>
        <row r="548">
          <cell r="A548" t="str">
            <v>RUSSEL VIPER VENOM ASSAY (WAS KCT)</v>
          </cell>
        </row>
        <row r="549">
          <cell r="A549" t="str">
            <v>THROMBIN TIME</v>
          </cell>
        </row>
        <row r="550">
          <cell r="A550" t="str">
            <v>VWF ACTIVITY</v>
          </cell>
        </row>
        <row r="551">
          <cell r="A551" t="str">
            <v>VWF ANTIGEN</v>
          </cell>
        </row>
        <row r="552">
          <cell r="A552" t="str">
            <v>VWF MULTIMER BANDING (sent to Basingstoke)</v>
          </cell>
        </row>
        <row r="553">
          <cell r="A553" t="str">
            <v>WARFARIN</v>
          </cell>
        </row>
        <row r="554">
          <cell r="A554" t="str">
            <v>WARFARIN + HEPARIN</v>
          </cell>
        </row>
        <row r="555">
          <cell r="A555" t="str">
            <v>AUTOMATED GROUP &amp; SCREEN</v>
          </cell>
        </row>
        <row r="556">
          <cell r="A556" t="str">
            <v>BLOOD GROUP (AUTOMATED)</v>
          </cell>
        </row>
        <row r="557">
          <cell r="A557" t="str">
            <v>ANTIBODY SCREEN (AUTOMATED)</v>
          </cell>
        </row>
        <row r="558">
          <cell r="A558" t="str">
            <v>ELECTRONIC CROSS MATCH</v>
          </cell>
        </row>
        <row r="559">
          <cell r="A559" t="str">
            <v>ELECTRONIC CROSS MATCH</v>
          </cell>
        </row>
        <row r="560">
          <cell r="A560" t="str">
            <v>ELECTRONIC CROSS MATCH</v>
          </cell>
        </row>
        <row r="561">
          <cell r="A561" t="str">
            <v>ELECTRONIC CROSS MATCH</v>
          </cell>
        </row>
        <row r="562">
          <cell r="A562" t="str">
            <v>ELECTRONIC CROSS MATCH</v>
          </cell>
        </row>
        <row r="563">
          <cell r="A563" t="str">
            <v>ELECTRONIC CROSS MATCH</v>
          </cell>
        </row>
        <row r="564">
          <cell r="A564" t="str">
            <v>50:50 PLASMA NEUTRALISATION</v>
          </cell>
        </row>
        <row r="565">
          <cell r="A565" t="str">
            <v>ACID ELUTION</v>
          </cell>
        </row>
        <row r="566">
          <cell r="A566" t="str">
            <v>AET</v>
          </cell>
        </row>
        <row r="567">
          <cell r="A567" t="str">
            <v>COLD AGGLUTININ SCREEN</v>
          </cell>
        </row>
        <row r="568">
          <cell r="A568" t="str">
            <v>T-ACTIVATED RED CELLS</v>
          </cell>
        </row>
        <row r="569">
          <cell r="A569" t="str">
            <v>ANTIBODY REFERRAL</v>
          </cell>
        </row>
        <row r="570">
          <cell r="A570" t="str">
            <v>BIRMINGHAM IAG PANEL</v>
          </cell>
        </row>
        <row r="571">
          <cell r="A571" t="str">
            <v>BIRMINGHAM ENZYME PANEL</v>
          </cell>
        </row>
        <row r="572">
          <cell r="A572" t="str">
            <v>CAMBRIDGE IAG PANEL</v>
          </cell>
        </row>
        <row r="573">
          <cell r="A573" t="str">
            <v>CAMBRIDGE ENZYME PANEL</v>
          </cell>
        </row>
        <row r="574">
          <cell r="A574" t="str">
            <v>CROSS MATCH</v>
          </cell>
        </row>
        <row r="575">
          <cell r="A575" t="str">
            <v>CROSS MATCH</v>
          </cell>
        </row>
        <row r="576">
          <cell r="A576" t="str">
            <v>CROSS MATCH</v>
          </cell>
        </row>
        <row r="577">
          <cell r="A577" t="str">
            <v>CROSS MATCH</v>
          </cell>
        </row>
        <row r="578">
          <cell r="A578" t="str">
            <v>CROSS MATCH</v>
          </cell>
        </row>
        <row r="579">
          <cell r="A579" t="str">
            <v>COOMBES TEST - DIRECT</v>
          </cell>
        </row>
        <row r="580">
          <cell r="A580" t="str">
            <v>DIAMED IAG PANEL</v>
          </cell>
        </row>
        <row r="581">
          <cell r="A581" t="str">
            <v>DIAMED ENZYME PANEL</v>
          </cell>
        </row>
        <row r="582">
          <cell r="A582" t="str">
            <v>DUFFY PHENOTYPE</v>
          </cell>
        </row>
        <row r="583">
          <cell r="A583" t="str">
            <v>EMERGENCY O Rh NEG ISSUE</v>
          </cell>
        </row>
        <row r="584">
          <cell r="A584" t="str">
            <v>HEPARIN INDUCED THROMBOCYTOPENIA</v>
          </cell>
        </row>
        <row r="585">
          <cell r="A585" t="str">
            <v>HLA CYTOTOXIC ANTIBODY SCREEN (NBS)</v>
          </cell>
        </row>
        <row r="586">
          <cell r="A586" t="str">
            <v>KPA TYPE</v>
          </cell>
        </row>
        <row r="587">
          <cell r="A587" t="str">
            <v>KIDD PHENOTYPE</v>
          </cell>
        </row>
        <row r="588">
          <cell r="A588" t="str">
            <v>KLEIHAUER TEST</v>
          </cell>
        </row>
        <row r="589">
          <cell r="A589" t="str">
            <v>ANTI-KPA</v>
          </cell>
        </row>
        <row r="590">
          <cell r="A590" t="str">
            <v>ANTIBODY SCREEN (MANUAL)</v>
          </cell>
        </row>
        <row r="591">
          <cell r="A591" t="str">
            <v>COOMBES TEST - MONOSPECIFIC</v>
          </cell>
        </row>
        <row r="592">
          <cell r="A592" t="str">
            <v>BLOOD GROUP (MANUAL)</v>
          </cell>
        </row>
        <row r="593">
          <cell r="A593" t="str">
            <v>M TYPE / N TYPE</v>
          </cell>
        </row>
        <row r="594">
          <cell r="A594" t="str">
            <v>NATIONAL BLOOD SERVICE ENZYME PANEL</v>
          </cell>
        </row>
        <row r="595">
          <cell r="A595" t="str">
            <v>NEUTROPHIL SEROLOGY (NBS)</v>
          </cell>
        </row>
        <row r="596">
          <cell r="A596" t="str">
            <v>NATIONAL BLOOD SERVICE IAG PANEL</v>
          </cell>
        </row>
        <row r="597">
          <cell r="A597" t="str">
            <v>PLATELET SEROLOGY (NBS)</v>
          </cell>
        </row>
        <row r="598">
          <cell r="A598" t="str">
            <v>ANTIBODY QUANTITATION (NBS)</v>
          </cell>
        </row>
        <row r="599">
          <cell r="A599" t="str">
            <v>RHESUS PENOTYPE</v>
          </cell>
        </row>
        <row r="600">
          <cell r="A600" t="str">
            <v>ROOM TEMP PANEL (BIRMINGHAM)</v>
          </cell>
        </row>
        <row r="601">
          <cell r="A601" t="str">
            <v>ROOM TEMP PANEL (DIAMED)</v>
          </cell>
        </row>
        <row r="602">
          <cell r="A602" t="str">
            <v>COLD AGGLUTININ TITRE</v>
          </cell>
        </row>
        <row r="603">
          <cell r="A603" t="str">
            <v>SS TYPE</v>
          </cell>
        </row>
        <row r="604">
          <cell r="A604" t="str">
            <v>ANTIBODY TITRE (NBS)</v>
          </cell>
        </row>
        <row r="605">
          <cell r="A605" t="str">
            <v>ANTIBODY TITRE (NBS)</v>
          </cell>
        </row>
        <row r="606">
          <cell r="A606" t="str">
            <v>IAT PANEL  POST ZZAP</v>
          </cell>
        </row>
        <row r="607">
          <cell r="A607" t="str">
            <v>IMMUNOLOGY</v>
          </cell>
        </row>
        <row r="608">
          <cell r="A608" t="str">
            <v>ADRENAL ANTIBODIES</v>
          </cell>
        </row>
        <row r="609">
          <cell r="A609" t="str">
            <v>ANA (see connective tissue ANA screen)</v>
          </cell>
        </row>
        <row r="610">
          <cell r="A610" t="str">
            <v>ANCA - ANTI-NEUTROPHIL CYTO ANTIBODIES</v>
          </cell>
        </row>
        <row r="611">
          <cell r="A611" t="str">
            <v>ANTI CARDIOLIPIN IgG &amp; IgM</v>
          </cell>
        </row>
        <row r="612">
          <cell r="A612" t="str">
            <v>ANTI C1 ESTERASE ANTIBODY</v>
          </cell>
        </row>
        <row r="613">
          <cell r="A613" t="str">
            <v>ANTI RI (ANNA-2) NEURONAL ANTIBODY (CSF)</v>
          </cell>
        </row>
        <row r="614">
          <cell r="A614" t="str">
            <v>ANTI RI (ANNA-2) NEURONAL ANTIBODY (sent away)</v>
          </cell>
        </row>
        <row r="615">
          <cell r="A615" t="str">
            <v>ANTI-COLLEGEN TYPE 2(send away)</v>
          </cell>
        </row>
        <row r="616">
          <cell r="A616" t="str">
            <v>ANTI-CHOLINESTERASE Ab(send away)</v>
          </cell>
        </row>
        <row r="617">
          <cell r="A617" t="str">
            <v>AMYLOID-A(send away)</v>
          </cell>
        </row>
        <row r="618">
          <cell r="A618" t="str">
            <v>ANTI-C1Q ANTIBODY</v>
          </cell>
        </row>
        <row r="619">
          <cell r="A619" t="str">
            <v>ANTI-IGA ANTIBODY (send away)</v>
          </cell>
        </row>
        <row r="620">
          <cell r="A620" t="str">
            <v>AQUAPORIN 4 (Send away)</v>
          </cell>
        </row>
        <row r="621">
          <cell r="A621" t="str">
            <v>ASPERGILLUS PRECIPITINS</v>
          </cell>
        </row>
        <row r="622">
          <cell r="A622" t="str">
            <v>AVIAN PRECIPITINS</v>
          </cell>
        </row>
        <row r="623">
          <cell r="A623" t="str">
            <v>BETA 2 GLYCOPROTEIN 1</v>
          </cell>
        </row>
        <row r="624">
          <cell r="A624" t="str">
            <v>BETA 2 MICROGLOBULIN (NON HAZARDOUS) </v>
          </cell>
        </row>
        <row r="625">
          <cell r="A625" t="str">
            <v>BETA 2 MICROGLOBULIN URINE</v>
          </cell>
        </row>
        <row r="626">
          <cell r="A626" t="str">
            <v>C1 ESTERASE INHIBITOR  </v>
          </cell>
        </row>
        <row r="627">
          <cell r="A627" t="str">
            <v>C1 ESTERASE INHIBITOR FUNCTIONAL ASSAY </v>
          </cell>
        </row>
        <row r="628">
          <cell r="A628" t="str">
            <v>C3 NEPHRITIC FACTOR  </v>
          </cell>
        </row>
        <row r="629">
          <cell r="A629" t="str">
            <v>CARDIAC MUSCLE ANTIBODY</v>
          </cell>
        </row>
        <row r="630">
          <cell r="A630" t="str">
            <v>CARTILAGE ANTIBODY (sent away)</v>
          </cell>
        </row>
        <row r="631">
          <cell r="A631" t="str">
            <v>CCP</v>
          </cell>
        </row>
        <row r="632">
          <cell r="A632" t="str">
            <v>COMPONENT RESOLVED DIAGNOSIS</v>
          </cell>
        </row>
        <row r="633">
          <cell r="A633" t="str">
            <v>CENTROMERE </v>
          </cell>
        </row>
        <row r="634">
          <cell r="A634" t="str">
            <v>CH50(FUNCTIONAL COMPLEMENT ASSAY)+C3C4 </v>
          </cell>
        </row>
        <row r="635">
          <cell r="A635" t="str">
            <v>COMPLEMENT C3C4</v>
          </cell>
        </row>
        <row r="636">
          <cell r="A636" t="str">
            <v>COMPLEMENT COMPONENT C2</v>
          </cell>
        </row>
        <row r="637">
          <cell r="A637" t="str">
            <v>ALT'VE COMPLEMENT PATHWAY FACTOR H</v>
          </cell>
        </row>
        <row r="638">
          <cell r="A638" t="str">
            <v>ALT'VE COMPLEMENT PATHWAY AP50</v>
          </cell>
        </row>
        <row r="639">
          <cell r="A639" t="str">
            <v>ALT'VE COMP PATHWAY -ELISA</v>
          </cell>
        </row>
        <row r="640">
          <cell r="A640" t="str">
            <v>CLASSICAL COMP PATHWAT- ELISA</v>
          </cell>
        </row>
        <row r="641">
          <cell r="A641" t="str">
            <v>COMPLEMENT MANNIN BINDING LECTINS</v>
          </cell>
        </row>
        <row r="642">
          <cell r="A642" t="str">
            <v>CONNECTIVE TISSUE ANA SCREEN</v>
          </cell>
        </row>
        <row r="643">
          <cell r="A643" t="str">
            <v>CRYOGLOBULIN </v>
          </cell>
        </row>
        <row r="644">
          <cell r="A644" t="str">
            <v>CSF ALBUMIN </v>
          </cell>
        </row>
        <row r="645">
          <cell r="A645" t="str">
            <v>CSF Analysis (IgG Alb and OCBS)</v>
          </cell>
        </row>
        <row r="646">
          <cell r="A646" t="str">
            <v>CSF CALCULATION NO COST</v>
          </cell>
        </row>
        <row r="647">
          <cell r="A647" t="str">
            <v>CSF IGG</v>
          </cell>
        </row>
        <row r="648">
          <cell r="A648" t="str">
            <v>CSF IMMUNOELECTROPHORESIS</v>
          </cell>
        </row>
        <row r="649">
          <cell r="A649" t="str">
            <v>DNA  ANTIBODIES</v>
          </cell>
        </row>
        <row r="650">
          <cell r="A650" t="str">
            <v>ENA EXTENDED SCREEN</v>
          </cell>
        </row>
        <row r="651">
          <cell r="A651" t="str">
            <v>ENA PROFILE</v>
          </cell>
        </row>
        <row r="652">
          <cell r="A652" t="str">
            <v>ENA SCREEN</v>
          </cell>
        </row>
        <row r="653">
          <cell r="A653" t="str">
            <v>ENDOMYSIAL ANTIBODY IGA</v>
          </cell>
        </row>
        <row r="654">
          <cell r="A654" t="str">
            <v>ENDOMYSIAL ANTIBODY IGG</v>
          </cell>
        </row>
        <row r="655">
          <cell r="A655" t="str">
            <v>ENTEROCYTE ANTIBODY (sent away)</v>
          </cell>
        </row>
        <row r="656">
          <cell r="A656" t="str">
            <v>FARMER'S LUNG PRECIPITINS</v>
          </cell>
        </row>
        <row r="657">
          <cell r="A657" t="str">
            <v>FREE LIGHT CHAINS (SERUM)</v>
          </cell>
        </row>
        <row r="658">
          <cell r="A658" t="str">
            <v>FUNCTIONAL ANTIBODIES (PNEUMO IgG 1&amp;2 TETANUS IgG HAEM B)</v>
          </cell>
        </row>
        <row r="659">
          <cell r="A659" t="str">
            <v>GASTRIC PARIETAL CELL ANTIBODY</v>
          </cell>
        </row>
        <row r="660">
          <cell r="A660" t="str">
            <v>GLOMERULAR BASEMENT MEMBRANE ANTIBODY </v>
          </cell>
        </row>
        <row r="661">
          <cell r="A661" t="str">
            <v>HAEMOPHILUS B</v>
          </cell>
        </row>
        <row r="662">
          <cell r="A662" t="str">
            <v>HEP2</v>
          </cell>
        </row>
        <row r="663">
          <cell r="A663" t="str">
            <v>HISTONE ABS </v>
          </cell>
        </row>
        <row r="664">
          <cell r="A664" t="str">
            <v>IGA LOW CONCENTRATION</v>
          </cell>
        </row>
        <row r="665">
          <cell r="A665" t="str">
            <v>IGG SUBCLASSES </v>
          </cell>
        </row>
        <row r="666">
          <cell r="A666" t="str">
            <v>IMMUNOELECTROPHORESIS (URINE)</v>
          </cell>
        </row>
        <row r="667">
          <cell r="A667" t="str">
            <v>IMMUNOELECTROPHORESIS (SERUM)</v>
          </cell>
        </row>
        <row r="668">
          <cell r="A668" t="str">
            <v>IMMUNOFIXATION (IFIX)</v>
          </cell>
        </row>
        <row r="669">
          <cell r="A669" t="str">
            <v>IMMUNOGLOBULIN D </v>
          </cell>
        </row>
        <row r="670">
          <cell r="A670" t="str">
            <v>IMMUNOGLOBULIN E </v>
          </cell>
        </row>
        <row r="671">
          <cell r="A671" t="str">
            <v>IMMUNOGLOBULIN IGA</v>
          </cell>
        </row>
        <row r="672">
          <cell r="A672" t="str">
            <v>IMMUNOGLOBULIN IGG</v>
          </cell>
        </row>
        <row r="673">
          <cell r="A673" t="str">
            <v>IMMUNOGLOBULIN IGM</v>
          </cell>
        </row>
        <row r="674">
          <cell r="A674" t="str">
            <v>IMMUNOGLOBULINS + SERUM ELECTROPHORESIS </v>
          </cell>
        </row>
        <row r="675">
          <cell r="A675" t="str">
            <v>INSULIN ANTIBODIES (send away)</v>
          </cell>
        </row>
        <row r="676">
          <cell r="A676" t="str">
            <v>INTRINSIC FACTOR ASSAY</v>
          </cell>
        </row>
        <row r="677">
          <cell r="A677" t="str">
            <v>ISLET CELL ANTIBODY </v>
          </cell>
        </row>
        <row r="678">
          <cell r="A678" t="str">
            <v>COMPLEMENT C2</v>
          </cell>
        </row>
        <row r="679">
          <cell r="A679" t="str">
            <v>ISOELECTRIC FOCUSING (CSF) </v>
          </cell>
        </row>
        <row r="680">
          <cell r="A680" t="str">
            <v>ISOELECTRIC FOCUSING (SERUM OR URINE) </v>
          </cell>
        </row>
        <row r="681">
          <cell r="A681" t="str">
            <v>KAPPA BJP</v>
          </cell>
        </row>
        <row r="682">
          <cell r="A682" t="str">
            <v>LAMDA BJP</v>
          </cell>
        </row>
        <row r="683">
          <cell r="A683" t="str">
            <v>LIVER SCREEN</v>
          </cell>
        </row>
        <row r="684">
          <cell r="A684" t="str">
            <v>M2 MITOCHONDRIAL ANTIBODY </v>
          </cell>
        </row>
        <row r="685">
          <cell r="A685" t="str">
            <v>MPO ANTIBODIES</v>
          </cell>
        </row>
        <row r="686">
          <cell r="A686" t="str">
            <v>MPO ANTIBODIES (NEW METHOD)</v>
          </cell>
        </row>
        <row r="687">
          <cell r="A687" t="str">
            <v>NUCLEOSOMES</v>
          </cell>
        </row>
        <row r="688">
          <cell r="A688" t="str">
            <v>OVARIAN ANTIBODY </v>
          </cell>
        </row>
        <row r="689">
          <cell r="A689" t="str">
            <v>PARATHYROID ANTIBODY (sent away)</v>
          </cell>
        </row>
        <row r="690">
          <cell r="A690" t="str">
            <v>PEMPHIGOID/PEMPHIGUS ANTIBODYSKIN </v>
          </cell>
        </row>
        <row r="691">
          <cell r="A691" t="str">
            <v>PITUITARY ANTIBODY (sent away)</v>
          </cell>
        </row>
        <row r="692">
          <cell r="A692" t="str">
            <v>PNEUMOCCOCCUS</v>
          </cell>
        </row>
        <row r="693">
          <cell r="A693" t="str">
            <v>PREVNAR ASSAY</v>
          </cell>
        </row>
        <row r="694">
          <cell r="A694" t="str">
            <v>PR3 ANTIBODIES</v>
          </cell>
        </row>
        <row r="695">
          <cell r="A695" t="str">
            <v>PR3 ANTIBODIES (NEW METHOD)</v>
          </cell>
        </row>
        <row r="696">
          <cell r="A696" t="str">
            <v>PARANEOPLASTIC ANTIBODY</v>
          </cell>
        </row>
        <row r="697">
          <cell r="A697" t="str">
            <v>PURKINJE CELL ANTIBODY (CSF)</v>
          </cell>
        </row>
        <row r="698">
          <cell r="A698" t="str">
            <v>PURKINJE CELL ANTIBODY (CSF)</v>
          </cell>
        </row>
        <row r="699">
          <cell r="A699" t="str">
            <v>PURKINJE CELL ANTIBODY (SERUM)</v>
          </cell>
        </row>
        <row r="700">
          <cell r="A700" t="str">
            <v>PURKINJE CELL ANTIBODY (SERUM)</v>
          </cell>
        </row>
        <row r="701">
          <cell r="A701" t="str">
            <v>GLOMERULAR BASEMENT MEMBRANE QUANTITATIVE</v>
          </cell>
        </row>
        <row r="702">
          <cell r="A702" t="str">
            <v>RHEUMATOID FACTOR SCREEN</v>
          </cell>
        </row>
        <row r="703">
          <cell r="A703" t="str">
            <v>RHEUMATOID FACTOR TITRE</v>
          </cell>
        </row>
        <row r="704">
          <cell r="A704" t="str">
            <v>RNP</v>
          </cell>
        </row>
        <row r="705">
          <cell r="A705" t="str">
            <v>SALIVARY ALBUMIN</v>
          </cell>
        </row>
        <row r="706">
          <cell r="A706" t="str">
            <v>SALIVARY GLAND ANTIBODY </v>
          </cell>
        </row>
        <row r="707">
          <cell r="A707" t="str">
            <v>SALIVARY IGA</v>
          </cell>
        </row>
        <row r="708">
          <cell r="A708" t="str">
            <v>SCANNED MONOCLONAL COMPONENT</v>
          </cell>
        </row>
        <row r="709">
          <cell r="A709" t="str">
            <v>SERUM ALBUMIN </v>
          </cell>
        </row>
        <row r="710">
          <cell r="A710" t="str">
            <v>SERUM ELECTROPHORESIS PART OF IGS </v>
          </cell>
        </row>
        <row r="711">
          <cell r="A711" t="str">
            <v>SERUM HAPTOGLOBINS</v>
          </cell>
        </row>
        <row r="712">
          <cell r="A712" t="str">
            <v>SKELETAL MUSCLE ANTIBODY</v>
          </cell>
        </row>
        <row r="713">
          <cell r="A713" t="str">
            <v>SM</v>
          </cell>
        </row>
        <row r="714">
          <cell r="A714" t="str">
            <v>SSA</v>
          </cell>
        </row>
        <row r="715">
          <cell r="A715" t="str">
            <v>SSB</v>
          </cell>
        </row>
        <row r="716">
          <cell r="A716" t="str">
            <v>STEROID CELL ANTIBODIES </v>
          </cell>
        </row>
        <row r="717">
          <cell r="A717" t="str">
            <v>TETANUS IGG TOTAL</v>
          </cell>
        </row>
        <row r="718">
          <cell r="A718" t="str">
            <v>THYROID PEROXIDASE ANTIBODY</v>
          </cell>
        </row>
        <row r="719">
          <cell r="A719" t="str">
            <v>TISSUE TRANSGLUTAMINASE IgA</v>
          </cell>
        </row>
        <row r="720">
          <cell r="A720" t="str">
            <v>TISSUE TRANSGLUTAMINASE IgG</v>
          </cell>
        </row>
        <row r="721">
          <cell r="A721" t="str">
            <v>TRYPTASE </v>
          </cell>
        </row>
        <row r="722">
          <cell r="A722" t="str">
            <v>UNLABELLED SAMPLE</v>
          </cell>
        </row>
        <row r="723">
          <cell r="A723" t="str">
            <v>ELECTROPHORESIS URINE (BJP)</v>
          </cell>
        </row>
        <row r="724">
          <cell r="A724" t="str">
            <v>IMMUNOELECTROPHORESIS  (URINE)</v>
          </cell>
        </row>
        <row r="725">
          <cell r="A725" t="str">
            <v>ISOELECTRIC FOCUSING  (URINE)</v>
          </cell>
        </row>
        <row r="726">
          <cell r="A726" t="str">
            <v>VOLTAGE GATED CALCIUM CHANNEL(SENDAWAY)</v>
          </cell>
        </row>
        <row r="727">
          <cell r="A727" t="str">
            <v>VOLTAGE GATED POTASSIUM CHANNEL (send away)</v>
          </cell>
        </row>
        <row r="728">
          <cell r="A728" t="str">
            <v>ALLERGEN SPECIFIC IgE PANEL (PER PANEL)</v>
          </cell>
        </row>
        <row r="729">
          <cell r="A729" t="str">
            <v>ALLERGEN SPECIFIC IgE SINGLE (PER ALLERGEN)</v>
          </cell>
        </row>
        <row r="730">
          <cell r="A730" t="str">
            <v>ALMOND </v>
          </cell>
        </row>
        <row r="731">
          <cell r="A731" t="str">
            <v>AMOXICILLIN</v>
          </cell>
        </row>
        <row r="732">
          <cell r="A732" t="str">
            <v>AMPICILLIN</v>
          </cell>
        </row>
        <row r="733">
          <cell r="A733" t="str">
            <v>ANIMAL PANEL 1(CAT EPITHELIUM-HORSE DANDER-COW DANDER- DOG DANDER)   </v>
          </cell>
        </row>
        <row r="734">
          <cell r="A734" t="str">
            <v>ASPERGILLUS FUMIGATUS </v>
          </cell>
        </row>
        <row r="735">
          <cell r="A735" t="str">
            <v>AVACADO</v>
          </cell>
        </row>
        <row r="736">
          <cell r="A736" t="str">
            <v>BANANA</v>
          </cell>
        </row>
        <row r="737">
          <cell r="A737" t="str">
            <v>BIRCH POLLEN</v>
          </cell>
        </row>
        <row r="738">
          <cell r="A738" t="str">
            <v>BRAZIL NUT </v>
          </cell>
        </row>
        <row r="739">
          <cell r="A739" t="str">
            <v>CACAO</v>
          </cell>
        </row>
        <row r="740">
          <cell r="A740" t="str">
            <v>CAGEBIRD FEATHER MIX (Budgie Canary Parakeet Parrot Finch)</v>
          </cell>
        </row>
        <row r="741">
          <cell r="A741" t="str">
            <v>CASHEW NUT</v>
          </cell>
        </row>
        <row r="742">
          <cell r="A742" t="str">
            <v>CAT EPITHELIUM </v>
          </cell>
        </row>
        <row r="743">
          <cell r="A743" t="str">
            <v>CHEESE- CHEDDAR TYPE </v>
          </cell>
        </row>
        <row r="744">
          <cell r="A744" t="str">
            <v>CHICKEN MEAT </v>
          </cell>
        </row>
        <row r="745">
          <cell r="A745" t="str">
            <v>CHLORHEXIDINE</v>
          </cell>
        </row>
        <row r="746">
          <cell r="A746" t="str">
            <v>COCONUT</v>
          </cell>
        </row>
        <row r="747">
          <cell r="A747" t="str">
            <v>CODFISH </v>
          </cell>
        </row>
        <row r="748">
          <cell r="A748" t="str">
            <v>DOG DANDER </v>
          </cell>
        </row>
        <row r="749">
          <cell r="A749" t="str">
            <v>EGG WHITE </v>
          </cell>
        </row>
        <row r="750">
          <cell r="A750" t="str">
            <v>EGG YOLK </v>
          </cell>
        </row>
        <row r="751">
          <cell r="A751" t="str">
            <v>EGG (WHOLE)</v>
          </cell>
        </row>
        <row r="752">
          <cell r="A752" t="str">
            <v>FOOD PANEL 1(PEANUT-HAZELNUT-BRAZIL NUT-ALMOND-COCONUT) </v>
          </cell>
        </row>
        <row r="753">
          <cell r="A753" t="str">
            <v>FOOD PANEL 3(WHEAT-OAT-CORN-SESAME SEED-BUCKWHEAT) </v>
          </cell>
        </row>
        <row r="754">
          <cell r="A754" t="str">
            <v>FOOD PANEL 5 (EGG WHITE-MILK-WHEAT-PEANUT-SOYABEAN) </v>
          </cell>
        </row>
        <row r="755">
          <cell r="A755" t="str">
            <v>FOOD PANEL2(CODFISH-SHRIMP-BLUE MUSSEL-TUNA-SALMON) </v>
          </cell>
        </row>
        <row r="756">
          <cell r="A756" t="str">
            <v>OAT</v>
          </cell>
        </row>
        <row r="757">
          <cell r="A757" t="str">
            <v>OVOMUCOID</v>
          </cell>
        </row>
        <row r="758">
          <cell r="A758" t="str">
            <v>rArah2</v>
          </cell>
        </row>
        <row r="759">
          <cell r="A759" t="str">
            <v>rArah8</v>
          </cell>
        </row>
        <row r="760">
          <cell r="A760" t="str">
            <v>rCora8</v>
          </cell>
        </row>
        <row r="761">
          <cell r="A761" t="str">
            <v>GELOFUSIN</v>
          </cell>
        </row>
        <row r="762">
          <cell r="A762" t="str">
            <v>GLUTEN </v>
          </cell>
        </row>
        <row r="763">
          <cell r="A763" t="str">
            <v>GRASS POLLEN MIX</v>
          </cell>
        </row>
        <row r="764">
          <cell r="A764" t="str">
            <v>HAZELNUT </v>
          </cell>
        </row>
        <row r="765">
          <cell r="A765" t="str">
            <v>HONEY BEE VENOM </v>
          </cell>
        </row>
        <row r="766">
          <cell r="A766" t="str">
            <v>HORSE DANDER </v>
          </cell>
        </row>
        <row r="767">
          <cell r="A767" t="str">
            <v>HOUSE DUST MITE </v>
          </cell>
        </row>
        <row r="768">
          <cell r="A768" t="str">
            <v>KIWI FRUIT</v>
          </cell>
        </row>
        <row r="769">
          <cell r="A769" t="str">
            <v>LATEX ALLERGEN</v>
          </cell>
        </row>
        <row r="770">
          <cell r="A770" t="str">
            <v>LEMON ALLERGEN</v>
          </cell>
        </row>
        <row r="771">
          <cell r="A771" t="str">
            <v>LIPID TRANSFER PROTEIN (Pru-P3)</v>
          </cell>
        </row>
        <row r="772">
          <cell r="A772" t="str">
            <v>MILK </v>
          </cell>
        </row>
        <row r="773">
          <cell r="A773" t="str">
            <v>MOLD PANEL 1(PENICILLIUM NOTATUM-CLADOSPORIUM HERBARUM-ASPERGILLUS FUMIGATUS-CANDIDA ALBICANS-ALTERNARIA TENIUS) </v>
          </cell>
        </row>
        <row r="774">
          <cell r="A774" t="str">
            <v>MORPHINE (QUATERNARY AMMONIUM)</v>
          </cell>
        </row>
        <row r="775">
          <cell r="A775" t="str">
            <v>ORANGE</v>
          </cell>
        </row>
        <row r="776">
          <cell r="A776" t="str">
            <v>OMEGA-5-GLIADIN</v>
          </cell>
        </row>
        <row r="777">
          <cell r="A777" t="str">
            <v>PEANUT</v>
          </cell>
        </row>
        <row r="778">
          <cell r="A778" t="str">
            <v>PECAN NUT</v>
          </cell>
        </row>
        <row r="779">
          <cell r="A779" t="str">
            <v>PENICILLIN G </v>
          </cell>
        </row>
        <row r="780">
          <cell r="A780" t="str">
            <v>PENICILLIN V </v>
          </cell>
        </row>
        <row r="781">
          <cell r="A781" t="str">
            <v>PISTACHIO NUT</v>
          </cell>
        </row>
        <row r="782">
          <cell r="A782" t="str">
            <v>POULTRY FEATHER MIX(Goose Chicken Duck Turkey)</v>
          </cell>
        </row>
        <row r="783">
          <cell r="A783" t="str">
            <v>RAST COMMENT NO COST</v>
          </cell>
        </row>
        <row r="784">
          <cell r="A784" t="str">
            <v>SALMON</v>
          </cell>
        </row>
        <row r="785">
          <cell r="A785" t="str">
            <v>SESAME </v>
          </cell>
        </row>
        <row r="786">
          <cell r="A786" t="str">
            <v>SHRIMP/PRAWN</v>
          </cell>
        </row>
        <row r="787">
          <cell r="A787" t="str">
            <v>SOYBEAN </v>
          </cell>
        </row>
        <row r="788">
          <cell r="A788" t="str">
            <v>STAPH ENTEROTOXIN B (SEB)</v>
          </cell>
        </row>
        <row r="789">
          <cell r="A789" t="str">
            <v>STRAWBERRY</v>
          </cell>
        </row>
        <row r="790">
          <cell r="A790" t="str">
            <v>SUXAMETHONIUM</v>
          </cell>
        </row>
        <row r="791">
          <cell r="A791" t="str">
            <v>TIMOTHY GRASS POLLEN </v>
          </cell>
        </row>
        <row r="792">
          <cell r="A792" t="str">
            <v>TOMATO</v>
          </cell>
        </row>
        <row r="793">
          <cell r="A793" t="str">
            <v>TREE PANEL 6 (MAPLE-BOX ELDER-BIRCH-BEECH-OAK-WALNUT) </v>
          </cell>
        </row>
        <row r="794">
          <cell r="A794" t="str">
            <v>WALNUT</v>
          </cell>
        </row>
        <row r="795">
          <cell r="A795" t="str">
            <v>WHEAT </v>
          </cell>
        </row>
        <row r="796">
          <cell r="A796" t="str">
            <v>YELLOW JACKET VENOM (WASP) </v>
          </cell>
        </row>
        <row r="797">
          <cell r="A797" t="str">
            <v>ABSOLUTE CELL COUNTS</v>
          </cell>
        </row>
        <row r="798">
          <cell r="A798" t="str">
            <v>ACUTE MYELOID</v>
          </cell>
        </row>
        <row r="799">
          <cell r="A799" t="str">
            <v>CD40</v>
          </cell>
        </row>
        <row r="800">
          <cell r="A800" t="str">
            <v>CD4T</v>
          </cell>
        </row>
        <row r="801">
          <cell r="A801" t="str">
            <v>COMMON VARIABLE IMMUNODEFFICIENCY SCREEN</v>
          </cell>
        </row>
        <row r="802">
          <cell r="A802" t="str">
            <v>IMMUNODEFICIENCY SCREEN NEW PATIENT </v>
          </cell>
        </row>
        <row r="803">
          <cell r="A803" t="str">
            <v>IMMUNODEFICIENCY SCREEN NEW PATIENT </v>
          </cell>
        </row>
        <row r="804">
          <cell r="A804" t="str">
            <v>NEUTOPHIL OXIDATIVE BURST </v>
          </cell>
        </row>
        <row r="805">
          <cell r="A805" t="str">
            <v>NEUTOPHIL OXIDATIVE BURST </v>
          </cell>
        </row>
        <row r="806">
          <cell r="A806" t="str">
            <v>HLA B27 - inappropriate sample</v>
          </cell>
        </row>
        <row r="807">
          <cell r="A807" t="str">
            <v>T-CELL ACTIVATION</v>
          </cell>
        </row>
        <row r="808">
          <cell r="A808" t="str">
            <v>LYMPHOCYTE PROLIFERATION (PHA)</v>
          </cell>
        </row>
        <row r="809">
          <cell r="A809" t="str">
            <v>PAROXYMAL NOCTURNAL HAEMAGLOBINUREA SCREEN</v>
          </cell>
        </row>
        <row r="810">
          <cell r="A810" t="str">
            <v>PRIMARY LEUKAEMIA/LYMPHOMA SCREEN</v>
          </cell>
        </row>
        <row r="811">
          <cell r="A811" t="str">
            <v>MONITORING ALL </v>
          </cell>
        </row>
        <row r="812">
          <cell r="A812" t="str">
            <v>MONITORING AML</v>
          </cell>
        </row>
        <row r="813">
          <cell r="A813" t="str">
            <v>REDUCED ACUTE LEUKAEMIA SCREEN</v>
          </cell>
        </row>
        <row r="814">
          <cell r="A814" t="str">
            <v>REDUCED TALL</v>
          </cell>
        </row>
        <row r="815">
          <cell r="A815" t="str">
            <v>RITUXIMAB THERAPY</v>
          </cell>
        </row>
        <row r="816">
          <cell r="A816" t="str">
            <v>SECONDARY B CELL LYMPHOMA SCREEN</v>
          </cell>
        </row>
        <row r="817">
          <cell r="A817" t="str">
            <v>IMMUNE MONITORING</v>
          </cell>
        </row>
        <row r="818">
          <cell r="A818" t="str">
            <v>TCR ALPHA BETA</v>
          </cell>
        </row>
        <row r="819">
          <cell r="A819" t="str">
            <v>TCR GAMMA DELTA</v>
          </cell>
        </row>
        <row r="820">
          <cell r="A820" t="str">
            <v>LYMPHOCYTE SUBSETS</v>
          </cell>
        </row>
        <row r="821">
          <cell r="A821" t="str">
            <v>T-CELL RECEPTOR</v>
          </cell>
        </row>
        <row r="822">
          <cell r="A822" t="str">
            <v>SECONDARY T SCREEN</v>
          </cell>
        </row>
        <row r="823">
          <cell r="A823" t="str">
            <v>TDT</v>
          </cell>
        </row>
        <row r="824">
          <cell r="A824" t="str">
            <v>T-CELL MEMORY SUBSETS</v>
          </cell>
        </row>
        <row r="825">
          <cell r="A825" t="str">
            <v>HAIRY CELL LEUKAEMIA </v>
          </cell>
        </row>
        <row r="826">
          <cell r="A826" t="str">
            <v>HLA B27 </v>
          </cell>
        </row>
        <row r="827">
          <cell r="A827" t="str">
            <v>LEUKAEMIA SCREEN/ MONITORING PANEL-1</v>
          </cell>
        </row>
        <row r="828">
          <cell r="A828" t="str">
            <v>LEUKAEMIA SCREEN/ MONITORING PANEL-10</v>
          </cell>
        </row>
        <row r="829">
          <cell r="A829" t="str">
            <v>LEUKAEMIA SCREEN/ MONITORING PANEL-2</v>
          </cell>
        </row>
        <row r="830">
          <cell r="A830" t="str">
            <v>LEUKAEMIA SCREEN/ MONITORING PANEL-3</v>
          </cell>
        </row>
        <row r="831">
          <cell r="A831" t="str">
            <v>LEUKAEMIA SCREEN/ MONITORING PANEL-4</v>
          </cell>
        </row>
        <row r="832">
          <cell r="A832" t="str">
            <v>LEUKAEMIA SCREEN/ MONITORING PANEL-5</v>
          </cell>
        </row>
        <row r="833">
          <cell r="A833" t="str">
            <v>LEUKAEMIA SCREEN/ MONITORING PANEL-6</v>
          </cell>
        </row>
        <row r="834">
          <cell r="A834" t="str">
            <v>LEUKAEMIA SCREEN/ MONITORING PANEL-7</v>
          </cell>
        </row>
        <row r="835">
          <cell r="A835" t="str">
            <v>LEUKAEMIA SCREEN/ MONITORING PANEL-8</v>
          </cell>
        </row>
        <row r="836">
          <cell r="A836" t="str">
            <v>LEUKAEMIA SCREEN/ MONITORING PANEL-9</v>
          </cell>
        </row>
        <row r="837">
          <cell r="A837" t="str">
            <v>LYMPHOCYTE SUBSETS</v>
          </cell>
        </row>
        <row r="838">
          <cell r="A838" t="str">
            <v>MATURE B CELLMARKERS PANEL1</v>
          </cell>
        </row>
        <row r="839">
          <cell r="A839" t="str">
            <v>MATURE B CELLMARKERS PANEL2</v>
          </cell>
        </row>
        <row r="840">
          <cell r="A840" t="str">
            <v>MEMORY B CELLS SUBSETS</v>
          </cell>
        </row>
        <row r="841">
          <cell r="A841" t="str">
            <v>MEMORY T-CELL  SUBSETS</v>
          </cell>
        </row>
        <row r="842">
          <cell r="A842" t="str">
            <v>MYELOPROLIFERATIVE MDS SCREEN</v>
          </cell>
        </row>
        <row r="843">
          <cell r="A843" t="str">
            <v>MYELOMA SCREEN/MONITORING</v>
          </cell>
        </row>
        <row r="844">
          <cell r="A844" t="str">
            <v>NK-NKT CELL SUBSETS</v>
          </cell>
        </row>
        <row r="845">
          <cell r="A845" t="str">
            <v>PRIMARY B CELL CLONALITY</v>
          </cell>
        </row>
        <row r="846">
          <cell r="A846" t="str">
            <v>PRIMARY LYMPHOCYTE SUBSETS</v>
          </cell>
        </row>
        <row r="847">
          <cell r="A847" t="str">
            <v>PRIMARY T CELL SUBSETS</v>
          </cell>
        </row>
        <row r="848">
          <cell r="A848" t="str">
            <v>SECONDARY B CELL MATURATION MARKERS</v>
          </cell>
        </row>
        <row r="849">
          <cell r="A849" t="str">
            <v>SECONDARY T SCREEN</v>
          </cell>
        </row>
        <row r="850">
          <cell r="A850" t="str">
            <v>T CELL SUBSETS</v>
          </cell>
        </row>
        <row r="851">
          <cell r="A851" t="str">
            <v>TBNK CELL MARKERS</v>
          </cell>
        </row>
        <row r="852">
          <cell r="A852" t="str">
            <v>TBNK CELL MARKERS</v>
          </cell>
        </row>
        <row r="853">
          <cell r="A853" t="str">
            <v>T-CELL ACTIVATION</v>
          </cell>
        </row>
        <row r="854">
          <cell r="A854" t="str">
            <v>T-CELL RECEPTOR</v>
          </cell>
        </row>
        <row r="855">
          <cell r="A855" t="str">
            <v>MOLECULAR BIOLOGY</v>
          </cell>
        </row>
        <row r="856">
          <cell r="A856" t="str">
            <v>IMMUNODEFIC. CASES (INCL. PCR1 &amp; TCRD)</v>
          </cell>
        </row>
        <row r="857">
          <cell r="A857" t="str">
            <v>LIGHT CHAIN REARRANGEMENTS</v>
          </cell>
        </row>
        <row r="858">
          <cell r="A858" t="str">
            <v>IgGHD-J GENER REARRANGEMENTS</v>
          </cell>
        </row>
        <row r="859">
          <cell r="A859" t="str">
            <v>IGH</v>
          </cell>
        </row>
        <row r="860">
          <cell r="A860" t="str">
            <v>PARAFFIN PCR INCL. PCR1 &amp; MW MARKER</v>
          </cell>
        </row>
        <row r="861">
          <cell r="A861" t="str">
            <v>PARAFFIN PCR INCL. PCR1- MW &amp; IgL (suspected B cell disease)</v>
          </cell>
        </row>
        <row r="862">
          <cell r="A862" t="str">
            <v>PCR STANDARD REQUEST FOR ALL TCRS &amp; IgH</v>
          </cell>
        </row>
        <row r="863">
          <cell r="A863" t="str">
            <v>PCR (IGH-TCR BETA GAMMA)</v>
          </cell>
        </row>
        <row r="864">
          <cell r="A864" t="str">
            <v>PCR FRESH SAMPLES B CELL SUSPECTED (INCL. PCR1 &amp; IgL)</v>
          </cell>
        </row>
        <row r="865">
          <cell r="A865" t="str">
            <v>PCR HANDLING CHARGE</v>
          </cell>
        </row>
        <row r="866">
          <cell r="A866" t="str">
            <v>REQUEST FOR TCR ONLY</v>
          </cell>
        </row>
        <row r="867">
          <cell r="A867" t="str">
            <v>TCRVB SPECTRATYPING</v>
          </cell>
        </row>
        <row r="868">
          <cell r="A868" t="str">
            <v>TCR(BETA GAMMA)</v>
          </cell>
        </row>
        <row r="869">
          <cell r="A869" t="str">
            <v>TCR DELTA</v>
          </cell>
        </row>
        <row r="870">
          <cell r="A870" t="str">
            <v>TCRG</v>
          </cell>
        </row>
        <row r="871">
          <cell r="A871" t="str">
            <v>T(11:14) TRANSLOCATION</v>
          </cell>
        </row>
        <row r="872">
          <cell r="A872" t="str">
            <v>T(14:18) TRANSLOCATION</v>
          </cell>
        </row>
        <row r="873">
          <cell r="A873" t="str">
            <v>BCR-ABL QUANTITATION 1</v>
          </cell>
        </row>
        <row r="874">
          <cell r="A874" t="str">
            <v>BCR-ABL QUANTITATION 2</v>
          </cell>
        </row>
        <row r="875">
          <cell r="A875" t="str">
            <v>BCR-ABL QUANTITATION 1 + 2</v>
          </cell>
        </row>
        <row r="876">
          <cell r="A876" t="str">
            <v>HLA B57</v>
          </cell>
        </row>
        <row r="877">
          <cell r="A877" t="str">
            <v>BEHCETS</v>
          </cell>
        </row>
        <row r="878">
          <cell r="A878" t="str">
            <v>FULL HLA CLASS 1+11 </v>
          </cell>
        </row>
        <row r="879">
          <cell r="A879" t="str">
            <v>HIGH RESOLUTION CLASS II TYPING</v>
          </cell>
        </row>
        <row r="880">
          <cell r="A880" t="str">
            <v>HLA TYPEING FOR LUDWIG STUDY</v>
          </cell>
        </row>
        <row r="881">
          <cell r="A881" t="str">
            <v>CLASS 1 MATCHED PLATELETS</v>
          </cell>
        </row>
        <row r="882">
          <cell r="A882" t="str">
            <v>HLA CLASS 1 (A-B) </v>
          </cell>
        </row>
        <row r="883">
          <cell r="A883" t="str">
            <v>HLA CLASS 11 (DR- DQ) </v>
          </cell>
        </row>
        <row r="884">
          <cell r="A884" t="str">
            <v>HEAMOCHROMATOSIS GENOTYPE</v>
          </cell>
        </row>
        <row r="885">
          <cell r="A885" t="str">
            <v>INAPPROPRIATE SAMPLE</v>
          </cell>
        </row>
        <row r="886">
          <cell r="A886" t="str">
            <v>NARCOLEPSY</v>
          </cell>
        </row>
        <row r="887">
          <cell r="A887" t="str">
            <v>FACTOR V LEIDEN</v>
          </cell>
        </row>
        <row r="888">
          <cell r="A888" t="str">
            <v>METHALINE TETRAHYDRA FOLATE REDUCTASE</v>
          </cell>
        </row>
        <row r="889">
          <cell r="A889" t="str">
            <v>FACTOR II MUTATION</v>
          </cell>
        </row>
        <row r="890">
          <cell r="A890" t="str">
            <v>HLA CLASS 1 DESEASE ASSOCIATED STUDIES</v>
          </cell>
        </row>
        <row r="891">
          <cell r="A891" t="str">
            <v>HLA CLASS 1 DESEASE ASSOCIATED STUDIES</v>
          </cell>
        </row>
        <row r="892">
          <cell r="A892" t="str">
            <v>CHIMERISM PRIOR TO TRANSPLANT</v>
          </cell>
        </row>
        <row r="893">
          <cell r="A893" t="str">
            <v>CHIMERISM POST TO TRANSPLANT</v>
          </cell>
        </row>
        <row r="894">
          <cell r="A894" t="str">
            <v>PRIMARY B CELL SCREEN</v>
          </cell>
        </row>
        <row r="895">
          <cell r="A895" t="str">
            <v>MYELOMA MONITORING</v>
          </cell>
        </row>
        <row r="896">
          <cell r="A896" t="str">
            <v>Micro Biology</v>
          </cell>
        </row>
        <row r="897">
          <cell r="A897" t="str">
            <v>(001) Urines</v>
          </cell>
        </row>
        <row r="898">
          <cell r="A898" t="str">
            <v>(002) Wound</v>
          </cell>
        </row>
        <row r="899">
          <cell r="A899" t="str">
            <v>(003) Tissue</v>
          </cell>
        </row>
        <row r="900">
          <cell r="A900" t="str">
            <v>(004) Fluid samples</v>
          </cell>
        </row>
        <row r="901">
          <cell r="A901" t="str">
            <v>(005) CSF (spinal fluids)</v>
          </cell>
        </row>
        <row r="902">
          <cell r="A902" t="str">
            <v>(006) MRSA swabs</v>
          </cell>
        </row>
        <row r="903">
          <cell r="A903" t="str">
            <v>(008) Genital swabs</v>
          </cell>
        </row>
        <row r="904">
          <cell r="A904" t="str">
            <v>(009) URT (throat swab)</v>
          </cell>
        </row>
        <row r="905">
          <cell r="A905" t="str">
            <v>(011) LRT (sputum)</v>
          </cell>
        </row>
        <row r="906">
          <cell r="A906" t="str">
            <v>(012) Faecal samples</v>
          </cell>
        </row>
        <row r="907">
          <cell r="A907" t="str">
            <v>(014) Blood culture</v>
          </cell>
        </row>
        <row r="908">
          <cell r="A908" t="str">
            <v>(017) Mycology</v>
          </cell>
        </row>
        <row r="909">
          <cell r="A909" t="str">
            <v>(018) Mycobacteria (TB)</v>
          </cell>
        </row>
        <row r="910">
          <cell r="A910" t="str">
            <v>(019) Parasitology</v>
          </cell>
        </row>
        <row r="911">
          <cell r="A911" t="str">
            <v>(023) Clostridium difficile toxin</v>
          </cell>
        </row>
        <row r="912">
          <cell r="A912" t="str">
            <v>(M001) Adenovirus PCR</v>
          </cell>
        </row>
        <row r="913">
          <cell r="A913" t="str">
            <v>(M002) Cytomegalovirus PCR</v>
          </cell>
        </row>
        <row r="914">
          <cell r="A914" t="str">
            <v>(M003) Hepatitis C RNA</v>
          </cell>
        </row>
        <row r="915">
          <cell r="A915" t="str">
            <v>(M005) Enterovirus PCR</v>
          </cell>
        </row>
        <row r="916">
          <cell r="A916" t="str">
            <v>(M006) EBV DNA</v>
          </cell>
        </row>
        <row r="917">
          <cell r="A917" t="str">
            <v>(M007) Influenza A PCR</v>
          </cell>
        </row>
        <row r="918">
          <cell r="A918" t="str">
            <v>(M008) Influenza B PCR</v>
          </cell>
        </row>
        <row r="919">
          <cell r="A919" t="str">
            <v>(M009) Herpes simplex PCR</v>
          </cell>
        </row>
        <row r="920">
          <cell r="A920" t="str">
            <v>(M010) Norovirus PCR</v>
          </cell>
        </row>
        <row r="921">
          <cell r="A921" t="str">
            <v>(M012) MENINGITIS PCR</v>
          </cell>
        </row>
        <row r="922">
          <cell r="A922" t="str">
            <v>(M013) RSV PCR</v>
          </cell>
        </row>
        <row r="923">
          <cell r="A923" t="str">
            <v>(M016) Hepatitis B DNA</v>
          </cell>
        </row>
        <row r="924">
          <cell r="A924" t="str">
            <v>(M017) Parainfluenza virus PCR</v>
          </cell>
        </row>
        <row r="925">
          <cell r="A925" t="str">
            <v>(M019) Varicella zoster PCR</v>
          </cell>
        </row>
        <row r="926">
          <cell r="A926" t="str">
            <v>(M021) Avian influenza H5 PCR</v>
          </cell>
        </row>
        <row r="927">
          <cell r="A927" t="str">
            <v>Histo_Immunogenetics</v>
          </cell>
        </row>
        <row r="928">
          <cell r="A928" t="str">
            <v>HLA B57</v>
          </cell>
        </row>
        <row r="929">
          <cell r="A929" t="str">
            <v>BEHCETS</v>
          </cell>
        </row>
        <row r="930">
          <cell r="A930" t="str">
            <v>FULL HLA CLASS 1+11 </v>
          </cell>
        </row>
        <row r="931">
          <cell r="A931" t="str">
            <v>HIGH RESOLUTION CLASS II TYPING</v>
          </cell>
        </row>
        <row r="932">
          <cell r="A932" t="str">
            <v>HLA TYPEING FOR LUDWIG STUDY</v>
          </cell>
        </row>
        <row r="933">
          <cell r="A933" t="str">
            <v>CLASS 1 MATCHED PLATELETS</v>
          </cell>
        </row>
        <row r="934">
          <cell r="A934" t="str">
            <v>HLA CLASS 1 (A-B) </v>
          </cell>
        </row>
        <row r="935">
          <cell r="A935" t="str">
            <v>HLA CLASS 11 (DR- DQ) </v>
          </cell>
        </row>
        <row r="936">
          <cell r="A936" t="str">
            <v>HEAMOCHROMATOSIS GENOTYPE</v>
          </cell>
        </row>
        <row r="937">
          <cell r="A937" t="str">
            <v>INAPPROPRIATE SAMPLE</v>
          </cell>
        </row>
        <row r="938">
          <cell r="A938" t="str">
            <v>NARCOLEPSY</v>
          </cell>
        </row>
        <row r="939">
          <cell r="A939" t="str">
            <v>FACTOR V LEIDEN</v>
          </cell>
        </row>
        <row r="940">
          <cell r="A940" t="str">
            <v>METHALINE TETRAHYDRA FOLATE REDUCTASE</v>
          </cell>
        </row>
        <row r="941">
          <cell r="A941" t="str">
            <v>FACTOR II MUTATION</v>
          </cell>
        </row>
        <row r="942">
          <cell r="A942" t="str">
            <v>HLA CLASS 1 DESEASE ASSOCIATED STUDIES</v>
          </cell>
        </row>
        <row r="943">
          <cell r="A943" t="str">
            <v>HLA CLASS 1 DESEASE ASSOCIATED STUDIES</v>
          </cell>
        </row>
        <row r="944">
          <cell r="A944" t="str">
            <v>CHIMERISM PRIOR TO TRANSPLANT</v>
          </cell>
        </row>
        <row r="945">
          <cell r="A945" t="str">
            <v>CHIMERISM POST TO TRANSPLANT</v>
          </cell>
        </row>
        <row r="946">
          <cell r="A946" t="str">
            <v>ALDOSTERONE/RENIN RATIO</v>
          </cell>
        </row>
        <row r="947">
          <cell r="A947" t="str">
            <v>PRIMARY B CELL SCREEN</v>
          </cell>
        </row>
        <row r="948">
          <cell r="A948" t="str">
            <v>MYELOMA MONITORING</v>
          </cell>
        </row>
        <row r="949">
          <cell r="A949" t="str">
            <v>Parafin Block</v>
          </cell>
        </row>
        <row r="950">
          <cell r="A950" t="str">
            <v>Tumour Block</v>
          </cell>
        </row>
        <row r="951">
          <cell r="A951" t="str">
            <v>(001) Urines</v>
          </cell>
        </row>
        <row r="952">
          <cell r="A952" t="str">
            <v>(002) Wound</v>
          </cell>
        </row>
        <row r="953">
          <cell r="A953" t="str">
            <v>(003) Tissue</v>
          </cell>
        </row>
        <row r="954">
          <cell r="A954" t="str">
            <v>(004) Fluid samples</v>
          </cell>
        </row>
        <row r="955">
          <cell r="A955" t="str">
            <v>(005) CSF (spinal fluids)</v>
          </cell>
        </row>
        <row r="956">
          <cell r="A956" t="str">
            <v>(006) MRSA swabs</v>
          </cell>
        </row>
        <row r="957">
          <cell r="A957" t="str">
            <v>(008) Genital swabs</v>
          </cell>
        </row>
        <row r="958">
          <cell r="A958" t="str">
            <v>(009) URT (throat swab)</v>
          </cell>
        </row>
        <row r="959">
          <cell r="A959" t="str">
            <v>(011) LRT (sputum)</v>
          </cell>
        </row>
        <row r="960">
          <cell r="A960" t="str">
            <v>(012) Faecal samples</v>
          </cell>
        </row>
        <row r="961">
          <cell r="A961" t="str">
            <v>(014) Blood culture</v>
          </cell>
        </row>
        <row r="962">
          <cell r="A962" t="str">
            <v>(017) Mycology</v>
          </cell>
        </row>
        <row r="963">
          <cell r="A963" t="str">
            <v>(018) Mycobacteria (TB)</v>
          </cell>
        </row>
        <row r="964">
          <cell r="A964" t="str">
            <v>(019) Parasitology</v>
          </cell>
        </row>
        <row r="965">
          <cell r="A965" t="str">
            <v>(023) Clostridium difficile toxin</v>
          </cell>
        </row>
        <row r="966">
          <cell r="A966" t="str">
            <v>(M001) Adenovirus PCR</v>
          </cell>
        </row>
        <row r="967">
          <cell r="A967" t="str">
            <v>(M002) Cytomegalovirus PCR</v>
          </cell>
        </row>
        <row r="968">
          <cell r="A968" t="str">
            <v>(M003) Hepatitis C RNA</v>
          </cell>
        </row>
        <row r="969">
          <cell r="A969" t="str">
            <v>(M005) Enterovirus PCR</v>
          </cell>
        </row>
        <row r="970">
          <cell r="A970" t="str">
            <v>(M006) EBV DNA</v>
          </cell>
        </row>
        <row r="971">
          <cell r="A971" t="str">
            <v>(M007) Influenza A PCR</v>
          </cell>
        </row>
        <row r="972">
          <cell r="A972" t="str">
            <v>(M008) Influenza B PCR</v>
          </cell>
        </row>
        <row r="973">
          <cell r="A973" t="str">
            <v>(M009) Herpes simplex PCR</v>
          </cell>
        </row>
        <row r="974">
          <cell r="A974" t="str">
            <v>(M010) Norovirus PCR</v>
          </cell>
        </row>
        <row r="975">
          <cell r="A975" t="str">
            <v>(M013) RSV PCR</v>
          </cell>
        </row>
        <row r="976">
          <cell r="A976" t="str">
            <v>(M016) Hepatitis B DNA</v>
          </cell>
        </row>
        <row r="977">
          <cell r="A977" t="str">
            <v>(M017) Parainfluenza virus PCR</v>
          </cell>
        </row>
        <row r="978">
          <cell r="A978" t="str">
            <v>(M019) Varicella zoster PCR</v>
          </cell>
        </row>
        <row r="979">
          <cell r="A979" t="str">
            <v>(M021) Avian influenza H5 PCR</v>
          </cell>
        </row>
        <row r="980">
          <cell r="A980" t="str">
            <v>Pharmacy</v>
          </cell>
        </row>
        <row r="981">
          <cell r="A981" t="str">
            <v>Set-up Dispensary based</v>
          </cell>
        </row>
        <row r="982">
          <cell r="A982" t="str">
            <v>Set-up Oral &amp; Injectable (2 depts)</v>
          </cell>
        </row>
        <row r="983">
          <cell r="A983" t="str">
            <v>Set-up Technical Services</v>
          </cell>
        </row>
        <row r="984">
          <cell r="A984" t="str">
            <v>Trial Maintenance monthly</v>
          </cell>
        </row>
        <row r="985">
          <cell r="A985" t="str">
            <v>Storage</v>
          </cell>
        </row>
        <row r="986">
          <cell r="A986" t="str">
            <v>Dispensing</v>
          </cell>
        </row>
        <row r="987">
          <cell r="A987" t="str">
            <v>Medicine reconcilation</v>
          </cell>
        </row>
        <row r="988">
          <cell r="A988" t="str">
            <v>Injection dispensed</v>
          </cell>
        </row>
        <row r="989">
          <cell r="A989" t="str">
            <v>waste disposal</v>
          </cell>
        </row>
        <row r="990">
          <cell r="A990" t="str">
            <v>Radiology</v>
          </cell>
        </row>
        <row r="991">
          <cell r="A991" t="str">
            <v>Audiology</v>
          </cell>
        </row>
        <row r="992">
          <cell r="A992" t="str">
            <v>X-Ray multiple views with report</v>
          </cell>
        </row>
        <row r="993">
          <cell r="A993" t="str">
            <v>X-Ray single view with report</v>
          </cell>
        </row>
        <row r="994">
          <cell r="A994" t="str">
            <v>X-Ray spine or bone with report</v>
          </cell>
        </row>
        <row r="995">
          <cell r="A995" t="str">
            <v>Ultrasound Scan less than 20 minutes</v>
          </cell>
        </row>
        <row r="996">
          <cell r="A996" t="str">
            <v>Ultrasound Scan more than 20 minutes</v>
          </cell>
        </row>
        <row r="997">
          <cell r="A997" t="str">
            <v>Ultrasound (Upper Abdomen/Liver)</v>
          </cell>
        </row>
        <row r="998">
          <cell r="A998" t="str">
            <v>Biopsy ~ bone marrow</v>
          </cell>
        </row>
        <row r="999">
          <cell r="A999" t="str">
            <v>Biopsy ~ skin</v>
          </cell>
        </row>
        <row r="1000">
          <cell r="A1000" t="str">
            <v>Biopsy ~ muscle</v>
          </cell>
        </row>
        <row r="1001">
          <cell r="A1001" t="str">
            <v>Biopsy ~ fluoro/ultrasound guidance</v>
          </cell>
        </row>
        <row r="1002">
          <cell r="A1002" t="str">
            <v>Biopsy ~  CT guidance</v>
          </cell>
        </row>
        <row r="1003">
          <cell r="A1003" t="str">
            <v>Angiography</v>
          </cell>
        </row>
        <row r="1004">
          <cell r="A1004" t="str">
            <v>Fluoroscopy/screening</v>
          </cell>
        </row>
        <row r="1005">
          <cell r="A1005" t="str">
            <v>Cardiac Investigations</v>
          </cell>
        </row>
        <row r="1006">
          <cell r="A1006" t="str">
            <v>CXR PA</v>
          </cell>
        </row>
        <row r="1007">
          <cell r="A1007" t="str">
            <v>CXR PA &amp; Lat</v>
          </cell>
        </row>
        <row r="1008">
          <cell r="A1008" t="str">
            <v>U/S Liver</v>
          </cell>
        </row>
        <row r="1009">
          <cell r="A1009" t="str">
            <v>MRI Scan, one area, no contrast</v>
          </cell>
        </row>
        <row r="1010">
          <cell r="A1010" t="str">
            <v>MRI Scan, one area, post contrast only</v>
          </cell>
        </row>
        <row r="1011">
          <cell r="A1011" t="str">
            <v>MRI Scan, one area, pre and post contrast</v>
          </cell>
        </row>
        <row r="1012">
          <cell r="A1012" t="str">
            <v>MRI Scan, two - three areas, no contrast</v>
          </cell>
        </row>
        <row r="1013">
          <cell r="A1013" t="str">
            <v>MRI Scan, two - three areas, with contrast</v>
          </cell>
        </row>
        <row r="1014">
          <cell r="A1014" t="str">
            <v>MRI Scan, more than three areas</v>
          </cell>
        </row>
        <row r="1015">
          <cell r="A1015" t="str">
            <v>MRI Scan, requiring extensive patient repositioning and/or more than one contrast agent</v>
          </cell>
        </row>
        <row r="1016">
          <cell r="A1016" t="str">
            <v>CT Scan, one area, no contrast</v>
          </cell>
        </row>
        <row r="1017">
          <cell r="A1017" t="str">
            <v>CT Scan, one area with post contrast only</v>
          </cell>
        </row>
        <row r="1018">
          <cell r="A1018" t="str">
            <v>CT Scan, one area, pre and post contrast</v>
          </cell>
        </row>
        <row r="1019">
          <cell r="A1019" t="str">
            <v>CT Scan, two areas without contrast</v>
          </cell>
        </row>
        <row r="1020">
          <cell r="A1020" t="str">
            <v>CT Scan, two areas with contrast</v>
          </cell>
        </row>
        <row r="1021">
          <cell r="A1021" t="str">
            <v>CT Scan, three areas with contrast</v>
          </cell>
        </row>
        <row r="1022">
          <cell r="A1022" t="str">
            <v>CT Scan, more than three areas</v>
          </cell>
        </row>
        <row r="1023">
          <cell r="A1023" t="str">
            <v>CT Scan Chest-Abdomen-Pelvis (non-contrast)</v>
          </cell>
        </row>
        <row r="1024">
          <cell r="A1024" t="str">
            <v>CT Scan Brain (inclusive of contrast)</v>
          </cell>
        </row>
        <row r="1025">
          <cell r="A1025" t="str">
            <v>MRI Gadolinium Contrast Media where needed.</v>
          </cell>
        </row>
        <row r="1026">
          <cell r="A1026" t="str">
            <v>Duplicate sets of CT films (original data at time of scan)</v>
          </cell>
        </row>
        <row r="1027">
          <cell r="A1027" t="str">
            <v>Duplicate sets of CT films (retrospective / blinded data) </v>
          </cell>
        </row>
        <row r="1028">
          <cell r="A1028" t="str">
            <v>additional films</v>
          </cell>
        </row>
        <row r="1029">
          <cell r="A1029" t="str">
            <v>Out of Hours surcharge (MRI / CT) First 2 hours</v>
          </cell>
        </row>
        <row r="1030">
          <cell r="A1030" t="str">
            <v>Out of Hours surcharge (MRI / CT) add’n per hour</v>
          </cell>
        </row>
        <row r="1031">
          <cell r="A1031" t="str">
            <v>Out of Hours (Administration &amp; data collection) where additional Senior/ Radiographer time is required.Per person/hour</v>
          </cell>
        </row>
        <row r="1032">
          <cell r="A1032" t="str">
            <v>Copy Films (First film)</v>
          </cell>
        </row>
        <row r="1033">
          <cell r="A1033" t="str">
            <v>Copy Films (Second film and thereafter)</v>
          </cell>
        </row>
        <row r="1034">
          <cell r="A1034" t="str">
            <v>Copy Films{Large quantities by special arrangement}</v>
          </cell>
        </row>
        <row r="1035">
          <cell r="A1035" t="str">
            <v>Cost of 5.25” M-Optical RW Discs if not supplied. </v>
          </cell>
        </row>
        <row r="1036">
          <cell r="A1036" t="str">
            <v>Cost of suitable data quality CD/R’s if not supplied. Each</v>
          </cell>
        </row>
        <row r="1037">
          <cell r="A1037" t="str">
            <v>Cost of DAT tapes if not supplied. Each</v>
          </cell>
        </row>
        <row r="1038">
          <cell r="A1038" t="str">
            <v>MRI Spectroscopy one area</v>
          </cell>
        </row>
        <row r="1039">
          <cell r="A1039" t="str">
            <v>MRI Spectroscopy two areas</v>
          </cell>
        </row>
        <row r="1040">
          <cell r="A1040" t="str">
            <v>MRI Spectroscopy three areas</v>
          </cell>
        </row>
        <row r="1041">
          <cell r="A1041" t="str">
            <v>Film skeletal study</v>
          </cell>
        </row>
        <row r="1042">
          <cell r="A1042" t="str">
            <v>PET Scans - Portsmouuth</v>
          </cell>
        </row>
        <row r="1043">
          <cell r="A1043" t="str">
            <v>Mammogram</v>
          </cell>
        </row>
        <row r="1044">
          <cell r="A1044" t="str">
            <v>Barium Study</v>
          </cell>
        </row>
        <row r="1045">
          <cell r="A1045" t="str">
            <v>Film copy</v>
          </cell>
        </row>
        <row r="1046">
          <cell r="A1046" t="str">
            <v>CT Contrast Cost</v>
          </cell>
        </row>
        <row r="1047">
          <cell r="A1047" t="str">
            <v>MRI Contrast cost</v>
          </cell>
        </row>
        <row r="1048">
          <cell r="A1048" t="str">
            <v>MRI Spectroscopy</v>
          </cell>
        </row>
        <row r="1049">
          <cell r="A1049" t="str">
            <v>Outpatients_FirstAttendance_Single_Professional</v>
          </cell>
        </row>
        <row r="1050">
          <cell r="A1050" t="str">
            <v>Outpatients 1st Att C.L. A &amp; E</v>
          </cell>
        </row>
        <row r="1051">
          <cell r="A1051" t="str">
            <v>Outpatients 1st Att S.P. Cancer</v>
          </cell>
        </row>
        <row r="1052">
          <cell r="A1052" t="str">
            <v>Outpatients 1st Att S.P. Cardiology</v>
          </cell>
        </row>
        <row r="1053">
          <cell r="A1053" t="str">
            <v>Outpatients 1st Att S.P. Ear, Nose &amp; Throat</v>
          </cell>
        </row>
        <row r="1054">
          <cell r="A1054" t="str">
            <v>Outpatients 1st Att S.P. Gynaecology</v>
          </cell>
        </row>
        <row r="1055">
          <cell r="A1055" t="str">
            <v>Outpatients 1st Att C.L. Medicine </v>
          </cell>
        </row>
        <row r="1056">
          <cell r="A1056" t="str">
            <v>Outpatients 1st Att S.P. Medicine </v>
          </cell>
        </row>
        <row r="1057">
          <cell r="A1057" t="str">
            <v>Outpatients 1st Att C.L. Neurology</v>
          </cell>
        </row>
        <row r="1058">
          <cell r="A1058" t="str">
            <v>Outpatients 1st Att S.P. Ophthalmology </v>
          </cell>
        </row>
        <row r="1059">
          <cell r="A1059" t="str">
            <v>Outpatients 1st Att S.P. Orthodontics </v>
          </cell>
        </row>
        <row r="1060">
          <cell r="A1060" t="str">
            <v>Outpatients 1st Att S.P. Paediatric</v>
          </cell>
        </row>
        <row r="1061">
          <cell r="A1061" t="str">
            <v>Outpatients 1st Att C.L. Paediatric</v>
          </cell>
        </row>
        <row r="1062">
          <cell r="A1062" t="str">
            <v>Outpatients 1st Att C.L. Surgery</v>
          </cell>
        </row>
        <row r="1063">
          <cell r="A1063" t="str">
            <v>Outpatients 1st Att S.P. Surgery</v>
          </cell>
        </row>
        <row r="1064">
          <cell r="A1064" t="str">
            <v>Outpatients 1st Att S.P.T &amp; O</v>
          </cell>
        </row>
        <row r="1065">
          <cell r="A1065" t="str">
            <v>Outpatients_FollowUp_Single_Professional</v>
          </cell>
        </row>
        <row r="1066">
          <cell r="A1066" t="str">
            <v>Outpatients F/up C.L. A &amp; E</v>
          </cell>
        </row>
        <row r="1067">
          <cell r="A1067" t="str">
            <v>Outpatients F/up S.P. Cancer</v>
          </cell>
        </row>
        <row r="1068">
          <cell r="A1068" t="str">
            <v>Outpatients F/up S.P. Cardiology</v>
          </cell>
        </row>
        <row r="1069">
          <cell r="A1069" t="str">
            <v>Outpatients F/up S.P. Ear, Nose &amp; Throat</v>
          </cell>
        </row>
        <row r="1070">
          <cell r="A1070" t="str">
            <v>Outpatients F/up S.P. Gynaecology</v>
          </cell>
        </row>
        <row r="1071">
          <cell r="A1071" t="str">
            <v>Outpatients F/up C.L. Medicine </v>
          </cell>
        </row>
        <row r="1072">
          <cell r="A1072" t="str">
            <v>Outpatients F/up S.P. Medicine </v>
          </cell>
        </row>
        <row r="1073">
          <cell r="A1073" t="str">
            <v>Outpatients F/up C.L. Neurology</v>
          </cell>
        </row>
        <row r="1074">
          <cell r="A1074" t="str">
            <v>Outpatients F/up S.P. Ophthalmology </v>
          </cell>
        </row>
        <row r="1075">
          <cell r="A1075" t="str">
            <v>Outpatients F/up S.P. Orthodontics </v>
          </cell>
        </row>
        <row r="1076">
          <cell r="A1076" t="str">
            <v>Outpatients F/up S.P. Paediatric</v>
          </cell>
        </row>
        <row r="1077">
          <cell r="A1077" t="str">
            <v>Outpatients F/up C.L. Paediatric</v>
          </cell>
        </row>
        <row r="1078">
          <cell r="A1078" t="str">
            <v>Outpatients F/up C.L. Surgery</v>
          </cell>
        </row>
        <row r="1079">
          <cell r="A1079" t="str">
            <v>Outpatients F/up up S.P. Surgery</v>
          </cell>
        </row>
        <row r="1080">
          <cell r="A1080" t="str">
            <v>Outpatients F/up S.P.T &amp; O</v>
          </cell>
        </row>
        <row r="1081">
          <cell r="A1081" t="str">
            <v>Osteoporosis Centre</v>
          </cell>
        </row>
        <row r="1082">
          <cell r="A1082" t="str">
            <v>DEXA</v>
          </cell>
        </row>
        <row r="1083">
          <cell r="A1083" t="str">
            <v>Pqct Scan</v>
          </cell>
        </row>
        <row r="1084">
          <cell r="A1084" t="str">
            <v>Nuclear Medicine </v>
          </cell>
        </row>
        <row r="1085">
          <cell r="A1085" t="str">
            <v>Bone Whole Body</v>
          </cell>
        </row>
        <row r="1086">
          <cell r="A1086" t="str">
            <v>Bone Dynamic</v>
          </cell>
        </row>
        <row r="1087">
          <cell r="A1087" t="str">
            <v>Brain HMPAO</v>
          </cell>
        </row>
        <row r="1088">
          <cell r="A1088" t="str">
            <v>Brain DAT</v>
          </cell>
        </row>
        <row r="1089">
          <cell r="A1089" t="str">
            <v>Cardiac scan</v>
          </cell>
        </row>
        <row r="1090">
          <cell r="A1090" t="str">
            <v>DMSA</v>
          </cell>
        </row>
        <row r="1091">
          <cell r="A1091" t="str">
            <v>Gastric Emptying</v>
          </cell>
        </row>
        <row r="1092">
          <cell r="A1092" t="str">
            <v>Lung scan</v>
          </cell>
        </row>
        <row r="1093">
          <cell r="A1093" t="str">
            <v>Lymph scan</v>
          </cell>
        </row>
        <row r="1094">
          <cell r="A1094" t="str">
            <v>MAG-3</v>
          </cell>
        </row>
        <row r="1095">
          <cell r="A1095" t="str">
            <v>Octreotide</v>
          </cell>
        </row>
        <row r="1096">
          <cell r="A1096" t="str">
            <v>SeHCAT</v>
          </cell>
        </row>
        <row r="1097">
          <cell r="A1097" t="str">
            <v>Thyroid scan </v>
          </cell>
        </row>
        <row r="1098">
          <cell r="A1098" t="str">
            <v>Thyroid therapy</v>
          </cell>
        </row>
        <row r="1099">
          <cell r="A1099" t="str">
            <v>White cell scan</v>
          </cell>
        </row>
        <row r="1100">
          <cell r="A1100" t="str">
            <v>Sentinel Imaging external</v>
          </cell>
        </row>
        <row r="1101">
          <cell r="A1101" t="str">
            <v>Sentinel SUHT imaging</v>
          </cell>
        </row>
        <row r="1102">
          <cell r="A1102" t="str">
            <v>Sentinel SUHT injection/probe</v>
          </cell>
        </row>
        <row r="1103">
          <cell r="A1103" t="str">
            <v>Parathyroid</v>
          </cell>
        </row>
        <row r="1104">
          <cell r="A1104" t="str">
            <v>mIBG</v>
          </cell>
        </row>
        <row r="1105">
          <cell r="A1105" t="str">
            <v>Thyroid post ablation I-131 imaging only</v>
          </cell>
        </row>
        <row r="1106">
          <cell r="A1106" t="str">
            <v>Thyroid post ablation I-131 imaging and drink</v>
          </cell>
        </row>
        <row r="1107">
          <cell r="A1107" t="str">
            <v>P32</v>
          </cell>
        </row>
        <row r="1108">
          <cell r="A1108" t="str">
            <v>Blood Vol</v>
          </cell>
        </row>
        <row r="1109">
          <cell r="A1109" t="str">
            <v>GFR</v>
          </cell>
        </row>
        <row r="1110">
          <cell r="A1110" t="str">
            <v>Urea</v>
          </cell>
        </row>
        <row r="1111">
          <cell r="A1111" t="str">
            <v>Bile Salt deconjugation C14</v>
          </cell>
        </row>
        <row r="1112">
          <cell r="A1112" t="str">
            <v>Meckels</v>
          </cell>
        </row>
      </sheetData>
    </sheetDataSet>
  </externalBook>
</externalLink>
</file>

<file path=xl/externalLinks/externalLink5.xml><?xml version="1.0" encoding="utf-8"?>
<externalLink xmlns="http://schemas.openxmlformats.org/spreadsheetml/2006/main">
  <externalBook xmlns:d2p1="http://schemas.openxmlformats.org/officeDocument/2006/relationships" d2p1:id="rId1">
    <sheetNames>
      <sheetName val="PROCEDURE INDEX"/>
      <sheetName val="Study Procedures"/>
      <sheetName val="Staff WTE print"/>
      <sheetName val="Staff WTE Equivalent"/>
      <sheetName val="Time card"/>
      <sheetName val="Print Options"/>
      <sheetName val="Research Project Summary"/>
      <sheetName val="Divisional Project Summary"/>
      <sheetName val="Set up, Management, Write up"/>
      <sheetName val="Research Costs Per Patient"/>
      <sheetName val="Support Costs Per Patient"/>
      <sheetName val="Treatment Costs Per Patient"/>
      <sheetName val="Pharmacy Drug costs"/>
      <sheetName val="R &amp; D Authorisation"/>
      <sheetName val="Data Sheet Costs"/>
      <sheetName val="R &amp; D Overhead apportionment"/>
      <sheetName val="Data Sheet Inflation_Overheads"/>
      <sheetName val="Lists"/>
      <sheetName val="Consumables Li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4">
          <cell r="A54" t="str">
            <v>Procedure</v>
          </cell>
        </row>
        <row r="55">
          <cell r="A55" t="str">
            <v>Informed consent</v>
          </cell>
        </row>
        <row r="56">
          <cell r="A56" t="str">
            <v>Medical history</v>
          </cell>
        </row>
        <row r="57">
          <cell r="A57" t="str">
            <v>Blood sample</v>
          </cell>
        </row>
        <row r="58">
          <cell r="A58" t="str">
            <v>Height /weight measurements</v>
          </cell>
        </row>
        <row r="59">
          <cell r="A59" t="str">
            <v>Physical examination</v>
          </cell>
        </row>
        <row r="60">
          <cell r="A60" t="str">
            <v>Urinalysis(dipstick)</v>
          </cell>
        </row>
        <row r="61">
          <cell r="A61" t="str">
            <v>Pregnancy test</v>
          </cell>
        </row>
        <row r="62">
          <cell r="A62" t="str">
            <v>Adverse events</v>
          </cell>
        </row>
        <row r="63">
          <cell r="A63" t="str">
            <v>Dispense diaries</v>
          </cell>
        </row>
        <row r="64">
          <cell r="A64" t="str">
            <v>Review diaries</v>
          </cell>
        </row>
        <row r="65">
          <cell r="A65" t="str">
            <v>Transfer data to CRF</v>
          </cell>
        </row>
        <row r="66">
          <cell r="A66" t="str">
            <v>Randomisation</v>
          </cell>
        </row>
        <row r="67">
          <cell r="A67" t="str">
            <v>Prescription for study </v>
          </cell>
        </row>
        <row r="68">
          <cell r="A68" t="str">
            <v>Drug accountability</v>
          </cell>
        </row>
        <row r="69">
          <cell r="A69" t="str">
            <v>Concomitant medication check</v>
          </cell>
        </row>
        <row r="70">
          <cell r="A70" t="str">
            <v>CRF completion</v>
          </cell>
        </row>
        <row r="71">
          <cell r="A71" t="str">
            <v>Monitoring visits</v>
          </cell>
        </row>
      </sheetData>
      <sheetData sheetId="18"/>
    </sheetDataSet>
  </externalBook>
</externalLink>
</file>

<file path=xl/externalLinks/externalLink6.xml><?xml version="1.0" encoding="utf-8"?>
<externalLink xmlns="http://schemas.openxmlformats.org/spreadsheetml/2006/main">
  <externalBook xmlns:d2p1="http://schemas.openxmlformats.org/officeDocument/2006/relationships" d2p1:id="rId1">
    <sheetNames>
      <sheetName val="Study Information &amp; rates"/>
      <sheetName val="Per patient"/>
      <sheetName val="Per patient SC"/>
      <sheetName val="Per patient RC"/>
      <sheetName val="Per patient ETC"/>
      <sheetName val="Additional Study Activities"/>
      <sheetName val="Set-up and other costs"/>
      <sheetName val="Pharmacy"/>
      <sheetName val="R&amp;D Overheads data"/>
      <sheetName val="Total summary"/>
      <sheetName val="Budget"/>
      <sheetName val="R&amp;D Authorisation Sheet"/>
      <sheetName val="Data Sheet Costs"/>
      <sheetName val="Commercial Procedures"/>
      <sheetName val="Sheet1"/>
    </sheetNames>
    <sheetDataSet>
      <sheetData sheetId="0"/>
      <sheetData sheetId="1"/>
      <sheetData sheetId="2"/>
      <sheetData sheetId="3"/>
      <sheetData sheetId="4"/>
      <sheetData sheetId="5"/>
      <sheetData sheetId="6"/>
      <sheetData sheetId="7"/>
      <sheetData sheetId="8"/>
      <sheetData sheetId="9">
        <row r="2">
          <cell r="B2">
            <v>0</v>
          </cell>
        </row>
        <row r="10">
          <cell r="B10">
            <v>0</v>
          </cell>
        </row>
      </sheetData>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externalBook xmlns:d2p1="http://schemas.openxmlformats.org/officeDocument/2006/relationships" d2p1:id="rId1">
    <sheetNames>
      <sheetName val="Study Information &amp; rates"/>
      <sheetName val="Total summary"/>
      <sheetName val="Budget"/>
      <sheetName val="R&amp;D Overheads data"/>
      <sheetName val="Reconciliation"/>
      <sheetName val="Look Up"/>
      <sheetName val="Per patient Arm 1"/>
      <sheetName val="Additional Study Activities"/>
      <sheetName val="Set-up and other costs"/>
      <sheetName val="Pharmacy"/>
      <sheetName val="R&amp;D Authorisation Sheet"/>
      <sheetName val="Guidance"/>
      <sheetName val="Sheet1"/>
      <sheetName val="Data Sheet Costs"/>
      <sheetName val="Sheet2"/>
    </sheetNames>
    <sheetDataSet>
      <sheetData sheetId="0"/>
      <sheetData sheetId="1"/>
      <sheetData sheetId="2"/>
      <sheetData sheetId="3"/>
      <sheetData sheetId="4"/>
      <sheetData sheetId="5">
        <row r="6">
          <cell r="A6" t="str">
            <v>Research Cost</v>
          </cell>
        </row>
        <row r="7">
          <cell r="A7" t="str">
            <v>Excess Treatment Costs</v>
          </cell>
        </row>
      </sheetData>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externalBook xmlns:d2p1="http://schemas.openxmlformats.org/officeDocument/2006/relationships" d2p1:id="rId1">
    <sheetNames>
      <sheetName val="Study Information &amp; rates"/>
      <sheetName val="Per patient"/>
      <sheetName val="Per patient SC"/>
      <sheetName val="Per patient RC"/>
      <sheetName val="Per patient ETC"/>
      <sheetName val="Additional Study Activities"/>
      <sheetName val="Set-up and other costs"/>
      <sheetName val="Pharmacy"/>
      <sheetName val="R&amp;D Overheads data"/>
      <sheetName val="Total summary"/>
      <sheetName val="R&amp;D Authorisation Sheet"/>
      <sheetName val="Budget"/>
      <sheetName val="Data Sheet Costs"/>
      <sheetName val="Commercial Procedures"/>
      <sheetName val="Sheet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9.xml><?xml version="1.0" encoding="utf-8"?>
<externalLink xmlns="http://schemas.openxmlformats.org/spreadsheetml/2006/main">
  <externalBook xmlns:d2p1="http://schemas.openxmlformats.org/officeDocument/2006/relationships" d2p1:id="rId1">
    <sheetNames>
      <sheetName val="Study Information &amp; rates"/>
      <sheetName val="Per patient group 1"/>
      <sheetName val="Additional Study Activities"/>
      <sheetName val="Set-up and other costs"/>
      <sheetName val="Pharmacy"/>
      <sheetName val="Total summary"/>
      <sheetName val="R&amp;D Authoriation Sheet"/>
    </sheetNames>
    <sheetDataSet>
      <sheetData sheetId="0">
        <row r="10">
          <cell r="B10" t="str">
            <v>CAN0976</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3" Type="http://schemas.openxmlformats.org/officeDocument/2006/relationships/vmlDrawing" Target="/xl/drawings/vmlDrawing3.vml" /><Relationship Id="rId2" Type="http://schemas.openxmlformats.org/officeDocument/2006/relationships/hyperlink" Target="https://www.nihr.ac.uk/documents/centre-for-engagement-and-dissemination-recognition-payments-for-public-contributors/24979" TargetMode="External" /><Relationship Id="rId1" Type="http://schemas.openxmlformats.org/officeDocument/2006/relationships/hyperlink" Target="https://www.nhsemployers.org/pay-pensions-and-reward/agenda-for-change/pay-scales/hourly" TargetMode="External" /><Relationship Id="rId4" Type="http://schemas.openxmlformats.org/officeDocument/2006/relationships/comments" Target="/xl/comments3.xml" /></Relationships>
</file>

<file path=xl/worksheets/_rels/sheet2.xml.rels><?xml version="1.0" encoding="utf-8" standalone="yes"?><Relationships xmlns="http://schemas.openxmlformats.org/package/2006/relationships"><Relationship Id="rId3" Type="http://schemas.openxmlformats.org/officeDocument/2006/relationships/hyperlink" Target="https://www.nihr.ac.uk/documents/researchers/collaborations-services-and-support-for-your-research/run-your-study/excess-treatment-costs/SoECAT%20Tool%20B.xlsx" TargetMode="External" /><Relationship Id="rId2" Type="http://schemas.openxmlformats.org/officeDocument/2006/relationships/hyperlink" Target="https://www.nihr.ac.uk/documents/researchers/collaborations-services-and-support-for-your-research/run-your-study/excess-treatment-costs/SoECAT%20Tool%20A.xlsx" TargetMode="External" /><Relationship Id="rId1" Type="http://schemas.openxmlformats.org/officeDocument/2006/relationships/hyperlink" Target="https://www.amrc.org.uk/pages/category/member-directory?Take=20" TargetMode="External" /><Relationship Id="rId4"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3" Type="http://schemas.openxmlformats.org/officeDocument/2006/relationships/comments" Target="/xl/comments4.xml" /><Relationship Id="rId2" Type="http://schemas.openxmlformats.org/officeDocument/2006/relationships/vmlDrawing" Target="/xl/drawings/vmlDrawing4.vml" /><Relationship Id="rId1" Type="http://schemas.openxmlformats.org/officeDocument/2006/relationships/printerSettings" Target="../printerSettings/printerSettings18.bin" /></Relationships>
</file>

<file path=xl/worksheets/_rels/sheet2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9.bin" /></Relationships>
</file>

<file path=xl/worksheets/_rels/sheet22.xml.rels><?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3" Type="http://schemas.openxmlformats.org/officeDocument/2006/relationships/vmlDrawing" Target="/xl/drawings/vmlDrawing5.vml" /><Relationship Id="rId7" Type="http://schemas.openxmlformats.org/officeDocument/2006/relationships/ctrlProp" Target="../ctrlProps/ctrlProp4.xml" /><Relationship Id="rId12" Type="http://schemas.openxmlformats.org/officeDocument/2006/relationships/ctrlProp" Target="../ctrlProps/ctrlProp9.xml" /><Relationship Id="rId2" Type="http://schemas.openxmlformats.org/officeDocument/2006/relationships/drawing" Target="/xl/drawings/drawing2.xml" /><Relationship Id="rId1" Type="http://schemas.openxmlformats.org/officeDocument/2006/relationships/printerSettings" Target="../printerSettings/printerSettings20.bin"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23.xml.rels><?xml version="1.0" encoding="utf-8" standalone="yes"?><Relationships xmlns="http://schemas.openxmlformats.org/package/2006/relationships"><Relationship Id="rId3" Type="http://schemas.openxmlformats.org/officeDocument/2006/relationships/comments" Target="/xl/comments5.xml" /><Relationship Id="rId2" Type="http://schemas.openxmlformats.org/officeDocument/2006/relationships/vmlDrawing" Target="/xl/drawings/vmlDrawing6.vml" /><Relationship Id="rId1" Type="http://schemas.openxmlformats.org/officeDocument/2006/relationships/printerSettings" Target="../printerSettings/printerSettings21.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3" Type="http://schemas.openxmlformats.org/officeDocument/2006/relationships/comments" Target="/xl/comments1.xml" /><Relationship Id="rId2" Type="http://schemas.openxmlformats.org/officeDocument/2006/relationships/vmlDrawing" Target="/xl/drawings/vmlDrawing1.vml" /><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3" Type="http://schemas.openxmlformats.org/officeDocument/2006/relationships/comments" Target="/xl/comments2.xml" /><Relationship Id="rId2" Type="http://schemas.openxmlformats.org/officeDocument/2006/relationships/vmlDrawing" Target="/xl/drawings/vmlDrawing2.vml" /><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31">
    <tabColor rgb="FF92D050"/>
  </sheetPr>
  <dimension ref="A1:L31"/>
  <sheetViews>
    <sheetView view="normal" workbookViewId="0">
      <selection pane="topLeft" activeCell="E37" sqref="E37"/>
    </sheetView>
  </sheetViews>
  <sheetFormatPr defaultRowHeight="12.5"/>
  <sheetData>
    <row r="1" spans="1:2" customFormat="1">
      <c r="A1">
        <v>1</v>
      </c>
      <c r="B1" t="s">
        <v>2048</v>
      </c>
    </row>
    <row r="2" spans="2:2" customFormat="1">
      <c r="B2" s="344" t="s">
        <v>2160</v>
      </c>
    </row>
    <row r="3" spans="1:2">
      <c r="A3">
        <v>2</v>
      </c>
      <c r="B3" t="s">
        <v>2046</v>
      </c>
    </row>
    <row r="4" spans="2:2" ht="14.5">
      <c r="B4" t="s">
        <v>2060</v>
      </c>
    </row>
    <row r="5" spans="2:2" customFormat="1">
      <c r="B5" t="s">
        <v>2055</v>
      </c>
    </row>
    <row r="6" spans="2:2" customFormat="1" ht="14.5">
      <c r="B6" s="296"/>
    </row>
    <row r="8" spans="1:2">
      <c r="A8">
        <v>3</v>
      </c>
      <c r="B8" t="s">
        <v>2047</v>
      </c>
    </row>
    <row r="9" spans="2:2">
      <c r="B9" t="s">
        <v>2056</v>
      </c>
    </row>
    <row r="11" spans="1:2" ht="14.5">
      <c r="A11">
        <v>4</v>
      </c>
      <c r="B11" t="s">
        <v>2068</v>
      </c>
    </row>
    <row r="13" spans="1:2" ht="14.5">
      <c r="A13">
        <v>5</v>
      </c>
      <c r="B13" t="s">
        <v>2069</v>
      </c>
    </row>
    <row r="15" spans="1:2" ht="14.5">
      <c r="A15">
        <v>6</v>
      </c>
      <c r="B15" t="s">
        <v>2070</v>
      </c>
    </row>
    <row r="17" spans="1:2">
      <c r="A17">
        <v>7</v>
      </c>
      <c r="B17" t="s">
        <v>2050</v>
      </c>
    </row>
    <row r="18" spans="2:2" ht="14.5">
      <c r="B18" s="296" t="s">
        <v>2049</v>
      </c>
    </row>
    <row r="19" spans="2:2">
      <c r="B19" t="s">
        <v>2051</v>
      </c>
    </row>
    <row r="21" spans="1:2">
      <c r="A21">
        <v>8</v>
      </c>
      <c r="B21" t="s">
        <v>2052</v>
      </c>
    </row>
    <row r="22" spans="8:8">
      <c r="H22" s="309"/>
    </row>
    <row r="23" spans="1:2">
      <c r="A23">
        <v>9</v>
      </c>
      <c r="B23" t="s">
        <v>2053</v>
      </c>
    </row>
    <row r="24" spans="2:2" ht="14.5">
      <c r="B24" s="296" t="s">
        <v>2049</v>
      </c>
    </row>
    <row r="25" spans="2:2" ht="14.5">
      <c r="B25" t="s">
        <v>2054</v>
      </c>
    </row>
    <row r="27" spans="1:2" ht="14.5">
      <c r="A27">
        <v>10</v>
      </c>
      <c r="B27" t="s">
        <v>2071</v>
      </c>
    </row>
    <row r="29" spans="2:2" ht="14.5">
      <c r="B29" s="305" t="s">
        <v>2072</v>
      </c>
    </row>
    <row r="31" spans="1:12">
      <c r="A31">
        <v>11</v>
      </c>
      <c r="B31" s="345" t="s">
        <v>2162</v>
      </c>
      <c r="L31" s="346"/>
    </row>
  </sheetData>
  <pageMargins left="0.7" right="0.7" top="0.75" bottom="0.75" header="0.3" footer="0.3"/>
  <pageSetup paperSize="9" orientation="portrait"/>
  <headerFooter scaleWithDoc="1" alignWithMargins="0" differentFirst="0" differentOddEven="0"/>
  <extLst/>
</worksheet>
</file>

<file path=xl/worksheets/sheet1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4">
    <tabColor rgb="FFFF0000"/>
  </sheetPr>
  <dimension ref="A1:BU93"/>
  <sheetViews>
    <sheetView topLeftCell="A1" zoomScale="70" view="normal" workbookViewId="0">
      <pane xSplit="1" ySplit="7" topLeftCell="B8" activePane="bottomRight" state="frozen"/>
      <selection pane="bottomRight" activeCell="A59" sqref="A59"/>
    </sheetView>
  </sheetViews>
  <sheetFormatPr defaultColWidth="9.1796875" defaultRowHeight="13"/>
  <cols>
    <col min="1" max="1" width="52.140625" style="6" customWidth="1"/>
    <col min="2" max="2" width="21.41796875" style="6" customWidth="1"/>
    <col min="3" max="3" width="12.27734375" style="6" customWidth="1"/>
    <col min="4" max="4" width="11.7109375" style="6" customWidth="1"/>
    <col min="5" max="5" width="11.27734375" style="6" customWidth="1"/>
    <col min="6" max="6" width="10.84765625" style="6" customWidth="1"/>
    <col min="7" max="7" width="18.140625" style="6" customWidth="1"/>
    <col min="8" max="8" width="13.84765625" style="6" customWidth="1"/>
    <col min="9" max="11" width="11.27734375" style="6" customWidth="1"/>
    <col min="12" max="12" width="13.5703125" style="6" customWidth="1"/>
    <col min="13" max="42" width="11.27734375" style="6" customWidth="1"/>
    <col min="43" max="43" width="3.7109375" style="6" customWidth="1"/>
    <col min="44" max="44" width="15.27734375" style="6" customWidth="1"/>
    <col min="45" max="47" width="12.84765625" style="6" customWidth="1"/>
    <col min="48" max="48" width="15.140625" style="6" customWidth="1"/>
    <col min="49" max="49" width="9.27734375" style="6" customWidth="1"/>
    <col min="50" max="52" width="9.140625" style="6" customWidth="1"/>
    <col min="53" max="53" width="20.5703125" style="6" hidden="1" customWidth="1"/>
    <col min="54" max="73" width="9.140625" style="6" hidden="1" customWidth="1"/>
    <col min="74" max="16384" width="9.140625" style="6" customWidth="1"/>
  </cols>
  <sheetData>
    <row r="1" spans="1:53" ht="26.25" customHeight="1">
      <c r="A1" s="25" t="s">
        <v>52</v>
      </c>
      <c r="B1" s="182"/>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BA1" s="8" t="s">
        <v>1856</v>
      </c>
    </row>
    <row r="2" spans="1:53" ht="20.25" customHeight="1">
      <c r="A2" s="24">
        <f>AV47+AV82</f>
        <v>0</v>
      </c>
      <c r="B2" s="13" t="b">
        <f>A2=AR92</f>
        <v>1</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BA2" s="8" t="s">
        <v>1857</v>
      </c>
    </row>
    <row r="3" spans="1:48" ht="18.75" customHeight="1">
      <c r="A3" s="50">
        <f>H92</f>
        <v>0</v>
      </c>
      <c r="B3" s="184" t="s">
        <v>45</v>
      </c>
      <c r="C3" s="185"/>
      <c r="D3" s="185"/>
      <c r="E3" s="185"/>
      <c r="F3" s="185"/>
      <c r="G3" s="186"/>
      <c r="H3" s="185"/>
      <c r="I3" s="185"/>
      <c r="J3" s="185"/>
      <c r="K3" s="183"/>
      <c r="L3" s="183"/>
      <c r="M3" s="185"/>
      <c r="N3" s="185"/>
      <c r="O3" s="183"/>
      <c r="P3" s="183"/>
      <c r="Q3" s="183"/>
      <c r="R3" s="183"/>
      <c r="S3" s="183"/>
      <c r="T3" s="183"/>
      <c r="U3" s="183"/>
      <c r="V3" s="183"/>
      <c r="W3" s="183"/>
      <c r="X3" s="183"/>
      <c r="Y3" s="183"/>
      <c r="Z3" s="183"/>
      <c r="AA3" s="183"/>
      <c r="AB3" s="183"/>
      <c r="AC3" s="183"/>
      <c r="AD3" s="183"/>
      <c r="AE3" s="183"/>
      <c r="AF3" s="185"/>
      <c r="AG3" s="185"/>
      <c r="AH3" s="183"/>
      <c r="AI3" s="183"/>
      <c r="AJ3" s="183"/>
      <c r="AK3" s="183"/>
      <c r="AL3" s="183"/>
      <c r="AM3" s="183"/>
      <c r="AN3" s="183"/>
      <c r="AO3" s="183"/>
      <c r="AP3" s="183"/>
      <c r="AQ3" s="183"/>
      <c r="AR3" s="183"/>
      <c r="AS3" s="183"/>
      <c r="AT3" s="183"/>
      <c r="AU3" s="183"/>
      <c r="AV3" s="183"/>
    </row>
    <row r="4" spans="1:33" s="183" customFormat="1" ht="27" customHeight="1">
      <c r="A4" s="705" t="s">
        <v>2291</v>
      </c>
      <c r="B4" s="706">
        <f>SUMIFS(AU8:AU46,B8:B46,"Research Cost A")+SUMIFS(AU56:AU82,B56:B82,"Research Cost A")+SUMIFS(AU8:AU46,B8:B46,"Research Cost B")+SUMIFS(AU56:AU82,B56:B82,"Research Cost B")</f>
        <v>0</v>
      </c>
      <c r="D4" s="185"/>
      <c r="E4" s="185"/>
      <c r="F4" s="185"/>
      <c r="G4" s="186"/>
      <c r="H4" s="185"/>
      <c r="I4" s="185"/>
      <c r="J4" s="185"/>
      <c r="M4" s="185"/>
      <c r="N4" s="185"/>
      <c r="AF4" s="185"/>
      <c r="AG4" s="185"/>
    </row>
    <row r="5" spans="1:53" ht="28.5" customHeight="1">
      <c r="A5" s="22" t="s">
        <v>23</v>
      </c>
      <c r="B5" s="187"/>
      <c r="C5" s="185"/>
      <c r="D5" s="185"/>
      <c r="E5" s="185"/>
      <c r="F5" s="185"/>
      <c r="G5" s="188"/>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BA5" s="11"/>
    </row>
    <row r="6" spans="3:72" ht="21">
      <c r="C6" s="7"/>
      <c r="D6" s="7"/>
      <c r="E6" s="7"/>
      <c r="F6" s="7"/>
      <c r="H6" s="323" t="s">
        <v>2132</v>
      </c>
      <c r="I6" s="321" t="s">
        <v>2133</v>
      </c>
      <c r="J6" s="321" t="s">
        <v>2134</v>
      </c>
      <c r="K6" s="321" t="s">
        <v>2135</v>
      </c>
      <c r="L6" s="322" t="s">
        <v>2136</v>
      </c>
      <c r="M6" s="314" t="s">
        <v>2098</v>
      </c>
      <c r="N6" s="314" t="s">
        <v>2099</v>
      </c>
      <c r="O6" s="314" t="s">
        <v>2137</v>
      </c>
      <c r="P6" s="314" t="s">
        <v>2138</v>
      </c>
      <c r="Q6" s="314" t="s">
        <v>2139</v>
      </c>
      <c r="R6" s="314" t="s">
        <v>1942</v>
      </c>
      <c r="S6" s="314" t="s">
        <v>1943</v>
      </c>
      <c r="T6" s="314" t="s">
        <v>1944</v>
      </c>
      <c r="U6" s="314" t="s">
        <v>2102</v>
      </c>
      <c r="V6" s="314" t="s">
        <v>2103</v>
      </c>
      <c r="W6" s="314" t="s">
        <v>2104</v>
      </c>
      <c r="X6" s="314" t="s">
        <v>2105</v>
      </c>
      <c r="Y6" s="314" t="s">
        <v>2106</v>
      </c>
      <c r="Z6" s="314" t="s">
        <v>2107</v>
      </c>
      <c r="AA6" s="314" t="s">
        <v>2108</v>
      </c>
      <c r="AB6" s="314" t="s">
        <v>2109</v>
      </c>
      <c r="AC6" s="314" t="s">
        <v>2110</v>
      </c>
      <c r="AD6" s="314" t="s">
        <v>2111</v>
      </c>
      <c r="AE6" s="314" t="s">
        <v>2112</v>
      </c>
      <c r="AF6" s="314" t="s">
        <v>2113</v>
      </c>
      <c r="AG6" s="314" t="s">
        <v>2114</v>
      </c>
      <c r="AH6" s="314" t="s">
        <v>2115</v>
      </c>
      <c r="AI6" s="314" t="s">
        <v>2116</v>
      </c>
      <c r="AJ6" s="314" t="s">
        <v>2117</v>
      </c>
      <c r="AK6" s="314" t="s">
        <v>2118</v>
      </c>
      <c r="AL6" s="314" t="s">
        <v>2119</v>
      </c>
      <c r="AM6" s="314"/>
      <c r="AN6" s="314"/>
      <c r="AO6" s="314"/>
      <c r="AP6" s="314"/>
      <c r="AQ6" s="455"/>
      <c r="BA6"/>
      <c r="BP6" s="11"/>
      <c r="BQ6" s="11" t="s">
        <v>2023</v>
      </c>
      <c r="BR6" s="11"/>
      <c r="BS6" s="11"/>
      <c r="BT6" s="11"/>
    </row>
    <row r="7" spans="1:72" s="11" customFormat="1" ht="39">
      <c r="A7" s="35" t="s">
        <v>0</v>
      </c>
      <c r="B7" s="9" t="s">
        <v>2059</v>
      </c>
      <c r="C7" s="9" t="s">
        <v>1968</v>
      </c>
      <c r="D7" s="9" t="s">
        <v>1969</v>
      </c>
      <c r="E7" s="9" t="s">
        <v>9</v>
      </c>
      <c r="F7" s="9" t="s">
        <v>8</v>
      </c>
      <c r="G7" s="546" t="s">
        <v>2</v>
      </c>
      <c r="H7" s="430" t="s">
        <v>58</v>
      </c>
      <c r="I7" s="430" t="s">
        <v>56</v>
      </c>
      <c r="J7" s="430" t="s">
        <v>15</v>
      </c>
      <c r="K7" s="430" t="s">
        <v>16</v>
      </c>
      <c r="L7" s="430" t="s">
        <v>57</v>
      </c>
      <c r="M7" s="430" t="s">
        <v>17</v>
      </c>
      <c r="N7" s="430" t="s">
        <v>18</v>
      </c>
      <c r="O7" s="430" t="s">
        <v>39</v>
      </c>
      <c r="P7" s="430" t="s">
        <v>61</v>
      </c>
      <c r="Q7" s="430" t="s">
        <v>1860</v>
      </c>
      <c r="R7" s="430" t="s">
        <v>1861</v>
      </c>
      <c r="S7" s="430" t="s">
        <v>1862</v>
      </c>
      <c r="T7" s="430" t="s">
        <v>1863</v>
      </c>
      <c r="U7" s="430" t="s">
        <v>1864</v>
      </c>
      <c r="V7" s="430" t="s">
        <v>1865</v>
      </c>
      <c r="W7" s="430" t="s">
        <v>1866</v>
      </c>
      <c r="X7" s="430" t="s">
        <v>1867</v>
      </c>
      <c r="Y7" s="430" t="s">
        <v>1868</v>
      </c>
      <c r="Z7" s="430" t="s">
        <v>1869</v>
      </c>
      <c r="AA7" s="430" t="s">
        <v>1870</v>
      </c>
      <c r="AB7" s="430" t="s">
        <v>1902</v>
      </c>
      <c r="AC7" s="430" t="s">
        <v>1903</v>
      </c>
      <c r="AD7" s="430" t="s">
        <v>1904</v>
      </c>
      <c r="AE7" s="430" t="s">
        <v>1948</v>
      </c>
      <c r="AF7" s="430" t="s">
        <v>1949</v>
      </c>
      <c r="AG7" s="430" t="s">
        <v>1950</v>
      </c>
      <c r="AH7" s="430" t="s">
        <v>1951</v>
      </c>
      <c r="AI7" s="430" t="s">
        <v>1952</v>
      </c>
      <c r="AJ7" s="430" t="s">
        <v>1953</v>
      </c>
      <c r="AK7" s="430" t="s">
        <v>1954</v>
      </c>
      <c r="AL7" s="430" t="s">
        <v>1955</v>
      </c>
      <c r="AM7" s="430" t="s">
        <v>1956</v>
      </c>
      <c r="AN7" s="430" t="s">
        <v>1957</v>
      </c>
      <c r="AO7" s="430" t="s">
        <v>1958</v>
      </c>
      <c r="AP7" s="430" t="s">
        <v>1959</v>
      </c>
      <c r="AQ7" s="434"/>
      <c r="AR7" s="439" t="s">
        <v>3</v>
      </c>
      <c r="AS7" s="439" t="s">
        <v>5</v>
      </c>
      <c r="AT7" s="439" t="s">
        <v>1852</v>
      </c>
      <c r="AU7" s="439" t="s">
        <v>2251</v>
      </c>
      <c r="AV7" s="439" t="s">
        <v>2252</v>
      </c>
      <c r="BA7"/>
      <c r="BC7" s="9" t="s">
        <v>3</v>
      </c>
      <c r="BD7" s="9" t="s">
        <v>5</v>
      </c>
      <c r="BE7" s="9" t="s">
        <v>1852</v>
      </c>
      <c r="BF7" s="9" t="s">
        <v>4</v>
      </c>
      <c r="BG7" s="11" t="s">
        <v>1983</v>
      </c>
      <c r="BH7" s="11" t="s">
        <v>2021</v>
      </c>
      <c r="BI7" s="11" t="s">
        <v>2022</v>
      </c>
      <c r="BJ7" s="11" t="s">
        <v>1984</v>
      </c>
      <c r="BL7" s="11" t="s">
        <v>1968</v>
      </c>
      <c r="BM7" s="11" t="s">
        <v>1969</v>
      </c>
      <c r="BN7" s="11" t="s">
        <v>9</v>
      </c>
      <c r="BO7" s="11" t="s">
        <v>8</v>
      </c>
      <c r="BP7" s="286"/>
      <c r="BQ7" s="286" t="s">
        <v>1968</v>
      </c>
      <c r="BR7" s="286" t="s">
        <v>1969</v>
      </c>
      <c r="BS7" s="286" t="s">
        <v>9</v>
      </c>
      <c r="BT7" s="286" t="s">
        <v>8</v>
      </c>
    </row>
    <row r="8" spans="1:72">
      <c r="A8" s="8"/>
      <c r="B8" s="8"/>
      <c r="C8" s="181"/>
      <c r="D8" s="181"/>
      <c r="E8" s="181"/>
      <c r="F8" s="181"/>
      <c r="G8" s="532">
        <f>IF(ISERROR((C8*'Study Information &amp; rates'!$B$101+D8*'Study Information &amp; rates'!$C$101+E8*'Study Information &amp; rates'!$D$101+F8*'Study Information &amp; rates'!$F$101)),0,(C8*'Study Information &amp; rates'!$B$101+D8*'Study Information &amp; rates'!$C$101+E8*'Study Information &amp; rates'!$D$101+F8*'Study Information &amp; rates'!$F$101))</f>
        <v>0</v>
      </c>
      <c r="H8" s="8"/>
      <c r="I8" s="8"/>
      <c r="J8" s="8"/>
      <c r="K8" s="8"/>
      <c r="L8" s="8"/>
      <c r="M8" s="8"/>
      <c r="N8" s="319"/>
      <c r="O8" s="319"/>
      <c r="P8" s="319"/>
      <c r="Q8" s="319"/>
      <c r="R8" s="319"/>
      <c r="S8" s="319"/>
      <c r="T8" s="319"/>
      <c r="U8" s="319"/>
      <c r="V8" s="319"/>
      <c r="W8" s="319"/>
      <c r="X8" s="317"/>
      <c r="Y8" s="312"/>
      <c r="Z8" s="312"/>
      <c r="AA8" s="312"/>
      <c r="AB8" s="312"/>
      <c r="AC8" s="8"/>
      <c r="AD8" s="8"/>
      <c r="AE8" s="8"/>
      <c r="AF8" s="8"/>
      <c r="AG8" s="8"/>
      <c r="AH8" s="8"/>
      <c r="AI8" s="8"/>
      <c r="AJ8" s="8"/>
      <c r="AK8" s="8"/>
      <c r="AL8" s="8"/>
      <c r="AM8" s="8"/>
      <c r="AN8" s="8"/>
      <c r="AO8" s="8"/>
      <c r="AP8" s="8"/>
      <c r="AQ8" s="428"/>
      <c r="AR8" s="440">
        <f>(SUM(H8:AP8))*G8</f>
        <v>0</v>
      </c>
      <c r="AS8" s="440">
        <f>IF('Study Information &amp; rates'!$B$44="Yes",AR8*0.287,0)</f>
        <v>0</v>
      </c>
      <c r="AT8" s="440">
        <f>IF('Study Information &amp; rates'!$B$44="No",0,AR8*0.05)</f>
        <v>0</v>
      </c>
      <c r="AU8" s="440">
        <f>AR8+AS8+AT8</f>
        <v>0</v>
      </c>
      <c r="AV8" s="440">
        <f>'Set-up and other costs'!$B$18*'Per patient Arm 2'!AU8</f>
        <v>0</v>
      </c>
      <c r="BA8">
        <f>SUMIF($B:$B,BA1,$AV:$AV)</f>
        <v>0</v>
      </c>
      <c r="BC8" s="2">
        <f>H8*G8</f>
        <v>0</v>
      </c>
      <c r="BD8" s="2">
        <f>IF('Study Information &amp; rates'!$B$44='Study Information &amp; rates'!$V$12,BC8*0.287,0)</f>
        <v>0</v>
      </c>
      <c r="BE8" s="2">
        <f>IF((Reconciliation!$C$15)&gt;5000,BC8*0.05,0)</f>
        <v>0</v>
      </c>
      <c r="BF8" s="2">
        <f>BC8+BD8+BE8</f>
        <v>0</v>
      </c>
      <c r="BG8" s="6" t="b">
        <f>IF($B8='Look Up'!$A$5,$H8)</f>
        <v>0</v>
      </c>
      <c r="BH8" s="6" t="b">
        <f>IF($B8='Look Up'!$A$6,$H8)</f>
        <v>0</v>
      </c>
      <c r="BI8" s="6" t="b">
        <f>IF($B8='Look Up'!$A$7,$H8)</f>
        <v>0</v>
      </c>
      <c r="BJ8" s="6" t="b">
        <f>IF($B8='Look Up'!$A$7,$H8)</f>
        <v>0</v>
      </c>
      <c r="BL8" s="6">
        <f>IF($B8='Look Up'!$A$6,$C8*$H8,0)+IF($B8='Look Up'!$A$7,$C8*$H8,0)</f>
        <v>0</v>
      </c>
      <c r="BM8" s="6">
        <f>IF($B8='Look Up'!$A$6,$D8*$H8,0)+IF($B8='Look Up'!$A$7,$D8*$H8,0)</f>
        <v>0</v>
      </c>
      <c r="BN8" s="6">
        <f>IF($B8='Look Up'!$A$6,$E8*$H8,0)+IF($B8='Look Up'!$A$7,$E8*$H8,0)</f>
        <v>0</v>
      </c>
      <c r="BO8" s="6">
        <f>IF($B8='Look Up'!$A$6,$F8*$H8,0)+IF($B8='Look Up'!$A$7,$F8*$H8,0)</f>
        <v>0</v>
      </c>
      <c r="BQ8" s="6">
        <f>$C8*'Study Information &amp; rates'!$B$101*IF('Study Information &amp; rates'!$B$44='Study Information &amp; rates'!$V$12,(SUM($H8:$AP8)*1.287),(SUM($H8:$AP8)))</f>
        <v>0</v>
      </c>
      <c r="BR8" s="6">
        <f>$D8*'Study Information &amp; rates'!$C$101*IF('Study Information &amp; rates'!$B$44='Study Information &amp; rates'!$V$12,(SUM($H8:$AP8)*1.287),(SUM($H8:$AP8)))</f>
        <v>0</v>
      </c>
      <c r="BS8" s="6">
        <f>$E8*'Study Information &amp; rates'!$D$101*IF('Study Information &amp; rates'!$B$44='Study Information &amp; rates'!$V$12,(SUM($H8:$AP8)*1.287),(SUM($H8:$AP8)))</f>
        <v>0</v>
      </c>
      <c r="BT8" s="6">
        <f>$F8*'Study Information &amp; rates'!$F$101*IF('Study Information &amp; rates'!$B$44='Study Information &amp; rates'!$V$12,(SUM($H8:$AP8)*1.287),(SUM($H8:$AP8)))</f>
        <v>0</v>
      </c>
    </row>
    <row r="9" spans="1:72">
      <c r="A9" s="342"/>
      <c r="B9" s="8"/>
      <c r="C9" s="181"/>
      <c r="D9" s="181"/>
      <c r="E9" s="181"/>
      <c r="F9" s="181"/>
      <c r="G9" s="532">
        <f>IF(ISERROR((C9*'Study Information &amp; rates'!$B$101+D9*'Study Information &amp; rates'!$C$101+E9*'Study Information &amp; rates'!$D$101+F9*'Study Information &amp; rates'!$F$101)),0,(C9*'Study Information &amp; rates'!$B$101+D9*'Study Information &amp; rates'!$C$101+E9*'Study Information &amp; rates'!$D$101+F9*'Study Information &amp; rates'!$F$101))</f>
        <v>0</v>
      </c>
      <c r="H9" s="8"/>
      <c r="I9" s="8"/>
      <c r="J9" s="8"/>
      <c r="K9" s="8"/>
      <c r="L9" s="8"/>
      <c r="M9" s="8"/>
      <c r="N9" s="319"/>
      <c r="O9" s="319"/>
      <c r="P9" s="319"/>
      <c r="Q9" s="319"/>
      <c r="R9" s="319"/>
      <c r="S9" s="319"/>
      <c r="T9" s="319"/>
      <c r="U9" s="319"/>
      <c r="V9" s="319"/>
      <c r="W9" s="319"/>
      <c r="X9" s="317"/>
      <c r="Y9" s="312"/>
      <c r="Z9" s="312"/>
      <c r="AA9" s="312"/>
      <c r="AB9" s="312"/>
      <c r="AC9" s="8"/>
      <c r="AD9" s="8"/>
      <c r="AE9" s="8"/>
      <c r="AF9" s="8"/>
      <c r="AG9" s="8"/>
      <c r="AH9" s="8"/>
      <c r="AI9" s="8"/>
      <c r="AJ9" s="8"/>
      <c r="AK9" s="8"/>
      <c r="AL9" s="8"/>
      <c r="AM9" s="8"/>
      <c r="AN9" s="8"/>
      <c r="AO9" s="8"/>
      <c r="AP9" s="8"/>
      <c r="AQ9" s="428"/>
      <c r="AR9" s="440">
        <f>(SUM(H9:AP9))*G9</f>
        <v>0</v>
      </c>
      <c r="AS9" s="440">
        <f>IF('Study Information &amp; rates'!$B$44="Yes",AR9*0.287,0)</f>
        <v>0</v>
      </c>
      <c r="AT9" s="440">
        <f>IF('Study Information &amp; rates'!$B$44="No",0,AR9*0.05)</f>
        <v>0</v>
      </c>
      <c r="AU9" s="440">
        <f>AR9+AS9+AT9</f>
        <v>0</v>
      </c>
      <c r="AV9" s="440">
        <f>'Set-up and other costs'!$B$18*'Per patient Arm 2'!AU9</f>
        <v>0</v>
      </c>
      <c r="AW9" s="261"/>
      <c r="BA9">
        <f>SUMIF($B:$B,BA2,$AV:$AV)</f>
        <v>0</v>
      </c>
      <c r="BC9" s="2">
        <f>H9*G9</f>
        <v>0</v>
      </c>
      <c r="BD9" s="2">
        <f>IF('Study Information &amp; rates'!$B$44='Study Information &amp; rates'!$V$12,BC9*0.287,0)</f>
        <v>0</v>
      </c>
      <c r="BE9" s="2">
        <f>IF((Reconciliation!$C$15)&gt;5000,BC9*0.05,0)</f>
        <v>0</v>
      </c>
      <c r="BF9" s="2">
        <f>BC9+BD9+BE9</f>
        <v>0</v>
      </c>
      <c r="BG9" s="6" t="b">
        <f>IF($B9='Look Up'!$A$5,$H9)</f>
        <v>0</v>
      </c>
      <c r="BH9" s="6" t="b">
        <f>IF($B9='Look Up'!$A$6,$H9)</f>
        <v>0</v>
      </c>
      <c r="BI9" s="6" t="b">
        <f>IF($B9='Look Up'!$A$7,$H9)</f>
        <v>0</v>
      </c>
      <c r="BJ9" s="6" t="b">
        <f>IF($B9='Look Up'!$A$7,$H9)</f>
        <v>0</v>
      </c>
      <c r="BL9" s="6">
        <f>IF($B9='Look Up'!$A$6,$C9*$H9,0)+IF($B9='Look Up'!$A$7,$C9*$H9,0)</f>
        <v>0</v>
      </c>
      <c r="BM9" s="6">
        <f>IF($B9='Look Up'!$A$6,$D9*$H9,0)+IF($B9='Look Up'!$A$7,$D9*$H9,0)</f>
        <v>0</v>
      </c>
      <c r="BN9" s="6">
        <f>IF($B9='Look Up'!$A$6,$E9*$H9,0)+IF($B9='Look Up'!$A$7,$E9*$H9,0)</f>
        <v>0</v>
      </c>
      <c r="BO9" s="6">
        <f>IF($B9='Look Up'!$A$6,$F9*$H9,0)+IF($B9='Look Up'!$A$7,$F9*$H9,0)</f>
        <v>0</v>
      </c>
      <c r="BQ9" s="6">
        <f>$C9*'Study Information &amp; rates'!$B$101*IF('Study Information &amp; rates'!$B$44='Study Information &amp; rates'!$V$12,(SUM($H9:$AP9)*1.287),(SUM($H9:$AP9)))</f>
        <v>0</v>
      </c>
      <c r="BR9" s="6">
        <f>$D9*'Study Information &amp; rates'!$C$101*IF('Study Information &amp; rates'!$B$44='Study Information &amp; rates'!$V$12,(SUM($H9:$AP9)*1.287),(SUM($H9:$AP9)))</f>
        <v>0</v>
      </c>
      <c r="BS9" s="6">
        <f>$E9*'Study Information &amp; rates'!$D$101*IF('Study Information &amp; rates'!$B$44='Study Information &amp; rates'!$V$12,(SUM($H9:$AP9)*1.287),(SUM($H9:$AP9)))</f>
        <v>0</v>
      </c>
      <c r="BT9" s="6">
        <f>$F9*'Study Information &amp; rates'!$F$101*IF('Study Information &amp; rates'!$B$44='Study Information &amp; rates'!$V$12,(SUM($H9:$AP9)*1.287),(SUM($H9:$AP9)))</f>
        <v>0</v>
      </c>
    </row>
    <row r="10" spans="1:72">
      <c r="A10" s="342"/>
      <c r="B10" s="8"/>
      <c r="C10" s="181"/>
      <c r="D10" s="181"/>
      <c r="E10" s="181"/>
      <c r="F10" s="181"/>
      <c r="G10" s="532">
        <f>IF(ISERROR((C10*'Study Information &amp; rates'!$B$101+D10*'Study Information &amp; rates'!$C$101+E10*'Study Information &amp; rates'!$D$101+F10*'Study Information &amp; rates'!$F$101)),0,(C10*'Study Information &amp; rates'!$B$101+D10*'Study Information &amp; rates'!$C$101+E10*'Study Information &amp; rates'!$D$101+F10*'Study Information &amp; rates'!$F$101))</f>
        <v>0</v>
      </c>
      <c r="H10" s="8"/>
      <c r="I10" s="8"/>
      <c r="J10" s="8"/>
      <c r="K10" s="8"/>
      <c r="L10" s="8"/>
      <c r="M10" s="8"/>
      <c r="N10" s="319"/>
      <c r="O10" s="319"/>
      <c r="P10" s="319"/>
      <c r="Q10" s="319"/>
      <c r="R10" s="319"/>
      <c r="S10" s="319"/>
      <c r="T10" s="319"/>
      <c r="U10" s="319"/>
      <c r="V10" s="319"/>
      <c r="W10" s="319"/>
      <c r="X10" s="317"/>
      <c r="Y10" s="312"/>
      <c r="Z10" s="312"/>
      <c r="AA10" s="312"/>
      <c r="AB10" s="312"/>
      <c r="AC10" s="8"/>
      <c r="AD10" s="8"/>
      <c r="AE10" s="8"/>
      <c r="AF10" s="8"/>
      <c r="AG10" s="8"/>
      <c r="AH10" s="8"/>
      <c r="AI10" s="8"/>
      <c r="AJ10" s="8"/>
      <c r="AK10" s="8"/>
      <c r="AL10" s="8"/>
      <c r="AM10" s="8"/>
      <c r="AN10" s="8"/>
      <c r="AO10" s="8"/>
      <c r="AP10" s="8"/>
      <c r="AQ10" s="428"/>
      <c r="AR10" s="440">
        <f>(SUM(H10:AP10))*G10</f>
        <v>0</v>
      </c>
      <c r="AS10" s="440">
        <f>IF('Study Information &amp; rates'!$B$44="Yes",AR10*0.287,0)</f>
        <v>0</v>
      </c>
      <c r="AT10" s="440">
        <f>IF('Study Information &amp; rates'!$B$44="No",0,AR10*0.05)</f>
        <v>0</v>
      </c>
      <c r="AU10" s="440">
        <f>AR10+AS10+AT10</f>
        <v>0</v>
      </c>
      <c r="AV10" s="440">
        <f>'Set-up and other costs'!$B$18*'Per patient Arm 2'!AU10</f>
        <v>0</v>
      </c>
      <c r="BA10"/>
      <c r="BC10" s="2">
        <f>H10*G10</f>
        <v>0</v>
      </c>
      <c r="BD10" s="2">
        <f>IF('Study Information &amp; rates'!$B$44='Study Information &amp; rates'!$V$12,BC10*0.287,0)</f>
        <v>0</v>
      </c>
      <c r="BE10" s="2">
        <f>IF((Reconciliation!$C$15)&gt;5000,BC10*0.05,0)</f>
        <v>0</v>
      </c>
      <c r="BF10" s="2">
        <f>BC10+BD10+BE10</f>
        <v>0</v>
      </c>
      <c r="BG10" s="6" t="b">
        <f>IF($B10='Look Up'!$A$5,$H10)</f>
        <v>0</v>
      </c>
      <c r="BH10" s="6" t="b">
        <f>IF($B10='Look Up'!$A$6,$H10)</f>
        <v>0</v>
      </c>
      <c r="BI10" s="6" t="b">
        <f>IF($B10='Look Up'!$A$7,$H10)</f>
        <v>0</v>
      </c>
      <c r="BJ10" s="6" t="b">
        <f>IF($B10='Look Up'!$A$7,$H10)</f>
        <v>0</v>
      </c>
      <c r="BL10" s="6">
        <f>IF($B10='Look Up'!$A$6,$C10*$H10,0)+IF($B10='Look Up'!$A$7,$C10*$H10,0)</f>
        <v>0</v>
      </c>
      <c r="BM10" s="6">
        <f>IF($B10='Look Up'!$A$6,$D10*$H10,0)+IF($B10='Look Up'!$A$7,$D10*$H10,0)</f>
        <v>0</v>
      </c>
      <c r="BN10" s="6">
        <f>IF($B10='Look Up'!$A$6,$E10*$H10,0)+IF($B10='Look Up'!$A$7,$E10*$H10,0)</f>
        <v>0</v>
      </c>
      <c r="BO10" s="6">
        <f>IF($B10='Look Up'!$A$6,$F10*$H10,0)+IF($B10='Look Up'!$A$7,$F10*$H10,0)</f>
        <v>0</v>
      </c>
      <c r="BQ10" s="6">
        <f>$C10*'Study Information &amp; rates'!$B$101*IF('Study Information &amp; rates'!$B$44='Study Information &amp; rates'!$V$12,(SUM($H10:$AP10)*1.287),(SUM($H10:$AP10)))</f>
        <v>0</v>
      </c>
      <c r="BR10" s="6">
        <f>$D10*'Study Information &amp; rates'!$C$101*IF('Study Information &amp; rates'!$B$44='Study Information &amp; rates'!$V$12,(SUM($H10:$AP10)*1.287),(SUM($H10:$AP10)))</f>
        <v>0</v>
      </c>
      <c r="BS10" s="6">
        <f>$E10*'Study Information &amp; rates'!$D$101*IF('Study Information &amp; rates'!$B$44='Study Information &amp; rates'!$V$12,(SUM($H10:$AP10)*1.287),(SUM($H10:$AP10)))</f>
        <v>0</v>
      </c>
      <c r="BT10" s="6">
        <f>$F10*'Study Information &amp; rates'!$F$101*IF('Study Information &amp; rates'!$B$44='Study Information &amp; rates'!$V$12,(SUM($H10:$AP10)*1.287),(SUM($H10:$AP10)))</f>
        <v>0</v>
      </c>
    </row>
    <row r="11" spans="1:72">
      <c r="A11" s="342"/>
      <c r="B11" s="8"/>
      <c r="C11" s="181"/>
      <c r="D11" s="181"/>
      <c r="E11" s="181"/>
      <c r="F11" s="181"/>
      <c r="G11" s="532">
        <f>IF(ISERROR((C11*'Study Information &amp; rates'!$B$101+D11*'Study Information &amp; rates'!$C$101+E11*'Study Information &amp; rates'!$D$101+F11*'Study Information &amp; rates'!$F$101)),0,(C11*'Study Information &amp; rates'!$B$101+D11*'Study Information &amp; rates'!$C$101+E11*'Study Information &amp; rates'!$D$101+F11*'Study Information &amp; rates'!$F$101))</f>
        <v>0</v>
      </c>
      <c r="H11" s="8"/>
      <c r="I11" s="8"/>
      <c r="J11" s="8"/>
      <c r="K11" s="8"/>
      <c r="L11" s="8"/>
      <c r="M11" s="8"/>
      <c r="N11" s="319"/>
      <c r="O11" s="319"/>
      <c r="P11" s="319"/>
      <c r="Q11" s="319"/>
      <c r="R11" s="319"/>
      <c r="S11" s="319"/>
      <c r="T11" s="319"/>
      <c r="U11" s="319"/>
      <c r="V11" s="319"/>
      <c r="W11" s="319"/>
      <c r="X11" s="316"/>
      <c r="Y11" s="313"/>
      <c r="Z11" s="313"/>
      <c r="AA11" s="313"/>
      <c r="AB11" s="313"/>
      <c r="AC11" s="8"/>
      <c r="AD11" s="8"/>
      <c r="AE11" s="8"/>
      <c r="AF11" s="8"/>
      <c r="AG11" s="8"/>
      <c r="AH11" s="8"/>
      <c r="AI11" s="8"/>
      <c r="AJ11" s="8"/>
      <c r="AK11" s="8"/>
      <c r="AL11" s="8"/>
      <c r="AM11" s="8"/>
      <c r="AN11" s="8"/>
      <c r="AO11" s="8"/>
      <c r="AP11" s="8"/>
      <c r="AQ11" s="428"/>
      <c r="AR11" s="440">
        <f>(SUM(H11:AP11))*G11</f>
        <v>0</v>
      </c>
      <c r="AS11" s="440">
        <f>IF('Study Information &amp; rates'!$B$44="Yes",AR11*0.287,0)</f>
        <v>0</v>
      </c>
      <c r="AT11" s="440">
        <f>IF('Study Information &amp; rates'!$B$44="No",0,AR11*0.05)</f>
        <v>0</v>
      </c>
      <c r="AU11" s="440">
        <f>AR11+AS11+AT11</f>
        <v>0</v>
      </c>
      <c r="AV11" s="440">
        <f>'Set-up and other costs'!$B$18*'Per patient Arm 2'!AU11</f>
        <v>0</v>
      </c>
      <c r="BA11"/>
      <c r="BC11" s="2">
        <f>H11*G11</f>
        <v>0</v>
      </c>
      <c r="BD11" s="2">
        <f>IF('Study Information &amp; rates'!$B$44='Study Information &amp; rates'!$V$12,BC11*0.287,0)</f>
        <v>0</v>
      </c>
      <c r="BE11" s="2">
        <f>IF((Reconciliation!$C$15)&gt;5000,BC11*0.05,0)</f>
        <v>0</v>
      </c>
      <c r="BF11" s="2">
        <f>BC11+BD11+BE11</f>
        <v>0</v>
      </c>
      <c r="BG11" s="6" t="b">
        <f>IF($B11='Look Up'!$A$5,$H11)</f>
        <v>0</v>
      </c>
      <c r="BH11" s="6" t="b">
        <f>IF($B11='Look Up'!$A$6,$H11)</f>
        <v>0</v>
      </c>
      <c r="BI11" s="6" t="b">
        <f>IF($B11='Look Up'!$A$7,$H11)</f>
        <v>0</v>
      </c>
      <c r="BJ11" s="6" t="b">
        <f>IF($B11='Look Up'!$A$7,$H11)</f>
        <v>0</v>
      </c>
      <c r="BL11" s="6">
        <f>IF($B11='Look Up'!$A$6,$C11*$H11,0)+IF($B11='Look Up'!$A$7,$C11*$H11,0)</f>
        <v>0</v>
      </c>
      <c r="BM11" s="6">
        <f>IF($B11='Look Up'!$A$6,$D11*$H11,0)+IF($B11='Look Up'!$A$7,$D11*$H11,0)</f>
        <v>0</v>
      </c>
      <c r="BN11" s="6">
        <f>IF($B11='Look Up'!$A$6,$E11*$H11,0)+IF($B11='Look Up'!$A$7,$E11*$H11,0)</f>
        <v>0</v>
      </c>
      <c r="BO11" s="6">
        <f>IF($B11='Look Up'!$A$6,$F11*$H11,0)+IF($B11='Look Up'!$A$7,$F11*$H11,0)</f>
        <v>0</v>
      </c>
      <c r="BQ11" s="6">
        <f>$C11*'Study Information &amp; rates'!$B$101*IF('Study Information &amp; rates'!$B$44='Study Information &amp; rates'!$V$12,(SUM($H11:$AP11)*1.287),(SUM($H11:$AP11)))</f>
        <v>0</v>
      </c>
      <c r="BR11" s="6">
        <f>$D11*'Study Information &amp; rates'!$C$101*IF('Study Information &amp; rates'!$B$44='Study Information &amp; rates'!$V$12,(SUM($H11:$AP11)*1.287),(SUM($H11:$AP11)))</f>
        <v>0</v>
      </c>
      <c r="BS11" s="6">
        <f>$E11*'Study Information &amp; rates'!$D$101*IF('Study Information &amp; rates'!$B$44='Study Information &amp; rates'!$V$12,(SUM($H11:$AP11)*1.287),(SUM($H11:$AP11)))</f>
        <v>0</v>
      </c>
      <c r="BT11" s="6">
        <f>$F11*'Study Information &amp; rates'!$F$101*IF('Study Information &amp; rates'!$B$44='Study Information &amp; rates'!$V$12,(SUM($H11:$AP11)*1.287),(SUM($H11:$AP11)))</f>
        <v>0</v>
      </c>
    </row>
    <row r="12" spans="1:72" ht="25.5" customHeight="1">
      <c r="A12" s="342"/>
      <c r="B12" s="8"/>
      <c r="C12" s="181"/>
      <c r="D12" s="181"/>
      <c r="E12" s="181"/>
      <c r="F12" s="181"/>
      <c r="G12" s="532">
        <f>IF(ISERROR((C12*'Study Information &amp; rates'!$B$101+D12*'Study Information &amp; rates'!$C$101+E12*'Study Information &amp; rates'!$D$101+F12*'Study Information &amp; rates'!$F$101)),0,(C12*'Study Information &amp; rates'!$B$101+D12*'Study Information &amp; rates'!$C$101+E12*'Study Information &amp; rates'!$D$101+F12*'Study Information &amp; rates'!$F$101))</f>
        <v>0</v>
      </c>
      <c r="H12" s="8"/>
      <c r="I12" s="448"/>
      <c r="J12" s="8"/>
      <c r="K12" s="8"/>
      <c r="L12" s="8"/>
      <c r="M12" s="8"/>
      <c r="N12" s="319"/>
      <c r="O12" s="319"/>
      <c r="P12" s="319"/>
      <c r="Q12" s="319"/>
      <c r="R12" s="319"/>
      <c r="S12" s="319"/>
      <c r="T12" s="319"/>
      <c r="U12" s="319"/>
      <c r="V12" s="319"/>
      <c r="W12" s="319"/>
      <c r="X12" s="316"/>
      <c r="Y12" s="313"/>
      <c r="Z12" s="313"/>
      <c r="AA12" s="313"/>
      <c r="AB12" s="313"/>
      <c r="AC12" s="8"/>
      <c r="AD12" s="8"/>
      <c r="AE12" s="8"/>
      <c r="AF12" s="8"/>
      <c r="AG12" s="8"/>
      <c r="AH12" s="8"/>
      <c r="AI12" s="8"/>
      <c r="AJ12" s="8"/>
      <c r="AK12" s="8"/>
      <c r="AL12" s="8"/>
      <c r="AM12" s="8"/>
      <c r="AN12" s="8"/>
      <c r="AO12" s="8"/>
      <c r="AP12" s="8"/>
      <c r="AQ12" s="428"/>
      <c r="AR12" s="440">
        <f>(SUM(H12:AP12))*G12</f>
        <v>0</v>
      </c>
      <c r="AS12" s="440">
        <f>IF('Study Information &amp; rates'!$B$44="Yes",AR12*0.287,0)</f>
        <v>0</v>
      </c>
      <c r="AT12" s="440">
        <f>IF('Study Information &amp; rates'!$B$44="No",0,AR12*0.05)</f>
        <v>0</v>
      </c>
      <c r="AU12" s="440">
        <f>AR12+AS12+AT12</f>
        <v>0</v>
      </c>
      <c r="AV12" s="440">
        <f>'Set-up and other costs'!$B$18*'Per patient Arm 2'!AU12</f>
        <v>0</v>
      </c>
      <c r="BA12"/>
      <c r="BC12" s="2">
        <f>H12*G12</f>
        <v>0</v>
      </c>
      <c r="BD12" s="2">
        <f>IF('Study Information &amp; rates'!$B$44='Study Information &amp; rates'!$V$12,BC12*0.287,0)</f>
        <v>0</v>
      </c>
      <c r="BE12" s="2">
        <f>IF((Reconciliation!$C$15)&gt;5000,BC12*0.05,0)</f>
        <v>0</v>
      </c>
      <c r="BF12" s="2">
        <f>BC12+BD12+BE12</f>
        <v>0</v>
      </c>
      <c r="BG12" s="6" t="b">
        <f>IF($B12='Look Up'!$A$5,$H12)</f>
        <v>0</v>
      </c>
      <c r="BH12" s="6" t="b">
        <f>IF($B12='Look Up'!$A$6,$H12)</f>
        <v>0</v>
      </c>
      <c r="BI12" s="6" t="b">
        <f>IF($B12='Look Up'!$A$7,$H12)</f>
        <v>0</v>
      </c>
      <c r="BJ12" s="6" t="b">
        <f>IF($B12='Look Up'!$A$7,$H12)</f>
        <v>0</v>
      </c>
      <c r="BL12" s="6">
        <f>IF($B12='Look Up'!$A$6,$C12*$H12,0)+IF($B12='Look Up'!$A$7,$C12*$H12,0)</f>
        <v>0</v>
      </c>
      <c r="BM12" s="6">
        <f>IF($B12='Look Up'!$A$6,$D12*$H12,0)+IF($B12='Look Up'!$A$7,$D12*$H12,0)</f>
        <v>0</v>
      </c>
      <c r="BN12" s="6">
        <f>IF($B12='Look Up'!$A$6,$E12*$H12,0)+IF($B12='Look Up'!$A$7,$E12*$H12,0)</f>
        <v>0</v>
      </c>
      <c r="BO12" s="6">
        <f>IF($B12='Look Up'!$A$6,$F12*$H12,0)+IF($B12='Look Up'!$A$7,$F12*$H12,0)</f>
        <v>0</v>
      </c>
      <c r="BQ12" s="6">
        <f>$C12*'Study Information &amp; rates'!$B$101*IF('Study Information &amp; rates'!$B$44='Study Information &amp; rates'!$V$12,(SUM($H12:$AP12)*1.287),(SUM($H12:$AP12)))</f>
        <v>0</v>
      </c>
      <c r="BR12" s="6">
        <f>$D12*'Study Information &amp; rates'!$C$101*IF('Study Information &amp; rates'!$B$44='Study Information &amp; rates'!$V$12,(SUM($H12:$AP12)*1.287),(SUM($H12:$AP12)))</f>
        <v>0</v>
      </c>
      <c r="BS12" s="6">
        <f>$E12*'Study Information &amp; rates'!$D$101*IF('Study Information &amp; rates'!$B$44='Study Information &amp; rates'!$V$12,(SUM($H12:$AP12)*1.287),(SUM($H12:$AP12)))</f>
        <v>0</v>
      </c>
      <c r="BT12" s="6">
        <f>$F12*'Study Information &amp; rates'!$F$101*IF('Study Information &amp; rates'!$B$44='Study Information &amp; rates'!$V$12,(SUM($H12:$AP12)*1.287),(SUM($H12:$AP12)))</f>
        <v>0</v>
      </c>
    </row>
    <row r="13" spans="1:72" ht="27.75" customHeight="1">
      <c r="A13" s="342"/>
      <c r="B13" s="8"/>
      <c r="C13" s="181"/>
      <c r="D13" s="181"/>
      <c r="E13" s="181"/>
      <c r="F13" s="181"/>
      <c r="G13" s="532">
        <f>IF(ISERROR((C13*'Study Information &amp; rates'!$B$101+D13*'Study Information &amp; rates'!$C$101+E13*'Study Information &amp; rates'!$D$101+F13*'Study Information &amp; rates'!$F$101)),0,(C13*'Study Information &amp; rates'!$B$101+D13*'Study Information &amp; rates'!$C$101+E13*'Study Information &amp; rates'!$D$101+F13*'Study Information &amp; rates'!$F$101))</f>
        <v>0</v>
      </c>
      <c r="H13" s="8"/>
      <c r="I13" s="8"/>
      <c r="J13" s="8"/>
      <c r="K13" s="8"/>
      <c r="L13" s="8"/>
      <c r="M13" s="8"/>
      <c r="N13" s="319"/>
      <c r="O13" s="319"/>
      <c r="P13" s="319"/>
      <c r="Q13" s="319"/>
      <c r="R13" s="319"/>
      <c r="S13" s="319"/>
      <c r="T13" s="319"/>
      <c r="U13" s="319"/>
      <c r="V13" s="319"/>
      <c r="W13" s="319"/>
      <c r="X13" s="316"/>
      <c r="Y13" s="313"/>
      <c r="Z13" s="313"/>
      <c r="AA13" s="313"/>
      <c r="AB13" s="313"/>
      <c r="AC13" s="8"/>
      <c r="AD13" s="8"/>
      <c r="AE13" s="8"/>
      <c r="AF13" s="8"/>
      <c r="AG13" s="8"/>
      <c r="AH13" s="8"/>
      <c r="AI13" s="8"/>
      <c r="AJ13" s="8"/>
      <c r="AK13" s="8"/>
      <c r="AL13" s="8"/>
      <c r="AM13" s="8"/>
      <c r="AN13" s="8"/>
      <c r="AO13" s="8"/>
      <c r="AP13" s="8"/>
      <c r="AQ13" s="428"/>
      <c r="AR13" s="440">
        <f>(SUM(H13:AP13))*G13</f>
        <v>0</v>
      </c>
      <c r="AS13" s="440">
        <f>IF('Study Information &amp; rates'!$B$44="Yes",AR13*0.287,0)</f>
        <v>0</v>
      </c>
      <c r="AT13" s="440">
        <f>IF('Study Information &amp; rates'!$B$44="No",0,AR13*0.05)</f>
        <v>0</v>
      </c>
      <c r="AU13" s="440">
        <f>AR13+AS13+AT13</f>
        <v>0</v>
      </c>
      <c r="AV13" s="440">
        <f>'Set-up and other costs'!$B$18*'Per patient Arm 2'!AU13</f>
        <v>0</v>
      </c>
      <c r="BA13"/>
      <c r="BC13" s="2">
        <f>H13*G13</f>
        <v>0</v>
      </c>
      <c r="BD13" s="2" t="b">
        <f>IF('Study Information &amp; rates'!$B$44='Study Information &amp; rates'!$V$12,BC13*IF('Study Information &amp; rates'!$B$44='Study Information &amp; rates'!$V$12,0.287,0))</f>
        <v>0</v>
      </c>
      <c r="BE13" s="2">
        <f>IF((Reconciliation!$C$15)&gt;5000,BC13*0.05,0)</f>
        <v>0</v>
      </c>
      <c r="BF13" s="2">
        <f>BC13+BD13+BE13</f>
        <v>0</v>
      </c>
      <c r="BG13" s="6" t="b">
        <f>IF($B13='Look Up'!$A$5,$H13)</f>
        <v>0</v>
      </c>
      <c r="BH13" s="6" t="b">
        <f>IF($B13='Look Up'!$A$6,$H13)</f>
        <v>0</v>
      </c>
      <c r="BI13" s="6" t="b">
        <f>IF($B13='Look Up'!$A$7,$H13)</f>
        <v>0</v>
      </c>
      <c r="BJ13" s="6" t="b">
        <f>IF($B13='Look Up'!$A$7,$H13)</f>
        <v>0</v>
      </c>
      <c r="BL13" s="6">
        <f>IF($B13='Look Up'!$A$6,$C13*$H13,0)+IF($B13='Look Up'!$A$7,$C13*$H13,0)</f>
        <v>0</v>
      </c>
      <c r="BM13" s="6">
        <f>IF($B13='Look Up'!$A$6,$D13*$H13,0)+IF($B13='Look Up'!$A$7,$D13*$H13,0)</f>
        <v>0</v>
      </c>
      <c r="BN13" s="6">
        <f>IF($B13='Look Up'!$A$6,$E13*$H13,0)+IF($B13='Look Up'!$A$7,$E13*$H13,0)</f>
        <v>0</v>
      </c>
      <c r="BO13" s="6">
        <f>IF($B13='Look Up'!$A$6,$F13*$H13,0)+IF($B13='Look Up'!$A$7,$F13*$H13,0)</f>
        <v>0</v>
      </c>
      <c r="BQ13" s="6">
        <f>$C13*'Study Information &amp; rates'!$B$101*IF('Study Information &amp; rates'!$B$44='Study Information &amp; rates'!$V$12,(SUM($H13:$AP13)*1.287),(SUM($H13:$AP13)))</f>
        <v>0</v>
      </c>
      <c r="BR13" s="6">
        <f>$D13*'Study Information &amp; rates'!$C$101*IF('Study Information &amp; rates'!$B$44='Study Information &amp; rates'!$V$12,(SUM($H13:$AP13)*1.287),(SUM($H13:$AP13)))</f>
        <v>0</v>
      </c>
      <c r="BS13" s="6">
        <f>$E13*'Study Information &amp; rates'!$D$101*IF('Study Information &amp; rates'!$B$44='Study Information &amp; rates'!$V$12,(SUM($H13:$AP13)*1.287),(SUM($H13:$AP13)))</f>
        <v>0</v>
      </c>
      <c r="BT13" s="6">
        <f>$F13*'Study Information &amp; rates'!$F$101*IF('Study Information &amp; rates'!$B$44='Study Information &amp; rates'!$V$12,(SUM($H13:$AP13)*1.287),(SUM($H13:$AP13)))</f>
        <v>0</v>
      </c>
    </row>
    <row r="14" spans="1:72">
      <c r="A14" s="342"/>
      <c r="B14" s="8"/>
      <c r="C14" s="181"/>
      <c r="D14" s="181"/>
      <c r="E14" s="181"/>
      <c r="F14" s="181"/>
      <c r="G14" s="532">
        <f>IF(ISERROR((C14*'Study Information &amp; rates'!$B$101+D14*'Study Information &amp; rates'!$C$101+E14*'Study Information &amp; rates'!$D$101+F14*'Study Information &amp; rates'!$F$101)),0,(C14*'Study Information &amp; rates'!$B$101+D14*'Study Information &amp; rates'!$C$101+E14*'Study Information &amp; rates'!$D$101+F14*'Study Information &amp; rates'!$F$101))</f>
        <v>0</v>
      </c>
      <c r="H14" s="8"/>
      <c r="I14" s="8"/>
      <c r="J14" s="8"/>
      <c r="K14" s="8"/>
      <c r="L14" s="8"/>
      <c r="M14" s="8"/>
      <c r="N14" s="319"/>
      <c r="O14" s="319"/>
      <c r="P14" s="319"/>
      <c r="Q14" s="319"/>
      <c r="R14" s="319"/>
      <c r="S14" s="319"/>
      <c r="T14" s="319"/>
      <c r="U14" s="319"/>
      <c r="V14" s="319"/>
      <c r="W14" s="319"/>
      <c r="X14" s="316"/>
      <c r="Y14" s="313"/>
      <c r="Z14" s="313"/>
      <c r="AA14" s="313"/>
      <c r="AB14" s="313"/>
      <c r="AC14" s="8"/>
      <c r="AD14" s="8"/>
      <c r="AE14" s="8"/>
      <c r="AF14" s="8"/>
      <c r="AG14" s="8"/>
      <c r="AH14" s="8"/>
      <c r="AI14" s="8"/>
      <c r="AJ14" s="8"/>
      <c r="AK14" s="8"/>
      <c r="AL14" s="8"/>
      <c r="AM14" s="8"/>
      <c r="AN14" s="8"/>
      <c r="AO14" s="8"/>
      <c r="AP14" s="8"/>
      <c r="AQ14" s="428"/>
      <c r="AR14" s="440">
        <f>(SUM(H14:AP14))*G14</f>
        <v>0</v>
      </c>
      <c r="AS14" s="440">
        <f>IF('Study Information &amp; rates'!$B$44="Yes",AR14*0.287,0)</f>
        <v>0</v>
      </c>
      <c r="AT14" s="440">
        <f>IF('Study Information &amp; rates'!$B$44="No",0,AR14*0.05)</f>
        <v>0</v>
      </c>
      <c r="AU14" s="440">
        <f>AR14+AS14+AT14</f>
        <v>0</v>
      </c>
      <c r="AV14" s="440">
        <f>'Set-up and other costs'!$B$18*'Per patient Arm 2'!AU14</f>
        <v>0</v>
      </c>
      <c r="BA14"/>
      <c r="BC14" s="2">
        <f>H14*G14</f>
        <v>0</v>
      </c>
      <c r="BD14" s="2">
        <f>IF('Study Information &amp; rates'!$B$44='Study Information &amp; rates'!$V$12,BC14*0.287,0)</f>
        <v>0</v>
      </c>
      <c r="BE14" s="2">
        <f>IF((Reconciliation!$C$15)&gt;5000,BC14*0.05,0)</f>
        <v>0</v>
      </c>
      <c r="BF14" s="2">
        <f>BC14+BD14+BE14</f>
        <v>0</v>
      </c>
      <c r="BG14" s="6" t="b">
        <f>IF($B14='Look Up'!$A$5,$H14)</f>
        <v>0</v>
      </c>
      <c r="BH14" s="6" t="b">
        <f>IF($B14='Look Up'!$A$6,$H14)</f>
        <v>0</v>
      </c>
      <c r="BI14" s="6" t="b">
        <f>IF($B14='Look Up'!$A$7,$H14)</f>
        <v>0</v>
      </c>
      <c r="BJ14" s="6" t="b">
        <f>IF($B14='Look Up'!$A$7,$H14)</f>
        <v>0</v>
      </c>
      <c r="BL14" s="6">
        <f>IF($B14='Look Up'!$A$6,$C14*$H14,0)+IF($B14='Look Up'!$A$7,$C14*$H14,0)</f>
        <v>0</v>
      </c>
      <c r="BM14" s="6">
        <f>IF($B14='Look Up'!$A$6,$D14*$H14,0)+IF($B14='Look Up'!$A$7,$D14*$H14,0)</f>
        <v>0</v>
      </c>
      <c r="BN14" s="6">
        <f>IF($B14='Look Up'!$A$6,$E14*$H14,0)+IF($B14='Look Up'!$A$7,$E14*$H14,0)</f>
        <v>0</v>
      </c>
      <c r="BO14" s="6">
        <f>IF($B14='Look Up'!$A$6,$F14*$H14,0)+IF($B14='Look Up'!$A$7,$F14*$H14,0)</f>
        <v>0</v>
      </c>
      <c r="BQ14" s="6">
        <f>$C14*'Study Information &amp; rates'!$B$101*IF('Study Information &amp; rates'!$B$44='Study Information &amp; rates'!$V$12,(SUM($H14:$AP14)*1.287),(SUM($H14:$AP14)))</f>
        <v>0</v>
      </c>
      <c r="BR14" s="6">
        <f>$D14*'Study Information &amp; rates'!$C$101*IF('Study Information &amp; rates'!$B$44='Study Information &amp; rates'!$V$12,(SUM($H14:$AP14)*1.287),(SUM($H14:$AP14)))</f>
        <v>0</v>
      </c>
      <c r="BS14" s="6">
        <f>$E14*'Study Information &amp; rates'!$D$101*IF('Study Information &amp; rates'!$B$44='Study Information &amp; rates'!$V$12,(SUM($H14:$AP14)*1.287),(SUM($H14:$AP14)))</f>
        <v>0</v>
      </c>
      <c r="BT14" s="6">
        <f>$F14*'Study Information &amp; rates'!$F$101*IF('Study Information &amp; rates'!$B$44='Study Information &amp; rates'!$V$12,(SUM($H14:$AP14)*1.287),(SUM($H14:$AP14)))</f>
        <v>0</v>
      </c>
    </row>
    <row r="15" spans="1:72" ht="17.25" customHeight="1">
      <c r="A15" s="342"/>
      <c r="B15" s="8"/>
      <c r="C15" s="181"/>
      <c r="D15" s="181"/>
      <c r="E15" s="181"/>
      <c r="F15" s="181"/>
      <c r="G15" s="532">
        <f>IF(ISERROR((C15*'Study Information &amp; rates'!$B$101+D15*'Study Information &amp; rates'!$C$101+E15*'Study Information &amp; rates'!$D$101+F15*'Study Information &amp; rates'!$F$101)),0,(C15*'Study Information &amp; rates'!$B$101+D15*'Study Information &amp; rates'!$C$101+E15*'Study Information &amp; rates'!$D$101+F15*'Study Information &amp; rates'!$F$101))</f>
        <v>0</v>
      </c>
      <c r="H15" s="8"/>
      <c r="I15" s="8"/>
      <c r="J15" s="8"/>
      <c r="K15" s="8"/>
      <c r="L15" s="8"/>
      <c r="M15" s="8"/>
      <c r="N15" s="319"/>
      <c r="O15" s="319"/>
      <c r="P15" s="319"/>
      <c r="Q15" s="319"/>
      <c r="R15" s="319"/>
      <c r="S15" s="319"/>
      <c r="T15" s="319"/>
      <c r="U15" s="319"/>
      <c r="V15" s="319"/>
      <c r="W15" s="319"/>
      <c r="X15" s="316"/>
      <c r="Y15" s="313"/>
      <c r="Z15" s="313"/>
      <c r="AA15" s="313"/>
      <c r="AB15" s="313"/>
      <c r="AC15" s="8"/>
      <c r="AD15" s="8"/>
      <c r="AE15" s="8"/>
      <c r="AF15" s="8"/>
      <c r="AG15" s="8"/>
      <c r="AH15" s="8"/>
      <c r="AI15" s="8"/>
      <c r="AJ15" s="8"/>
      <c r="AK15" s="8"/>
      <c r="AL15" s="8"/>
      <c r="AM15" s="8"/>
      <c r="AN15" s="8"/>
      <c r="AO15" s="8"/>
      <c r="AP15" s="8"/>
      <c r="AQ15" s="428"/>
      <c r="AR15" s="440">
        <f>(SUM(H15:AP15))*G15</f>
        <v>0</v>
      </c>
      <c r="AS15" s="440">
        <f>IF('Study Information &amp; rates'!$B$44="Yes",AR15*0.287,0)</f>
        <v>0</v>
      </c>
      <c r="AT15" s="440">
        <f>IF('Study Information &amp; rates'!$B$44="No",0,AR15*0.05)</f>
        <v>0</v>
      </c>
      <c r="AU15" s="440">
        <f>AR15+AS15+AT15</f>
        <v>0</v>
      </c>
      <c r="AV15" s="440">
        <f>'Set-up and other costs'!$B$18*'Per patient Arm 2'!AU15</f>
        <v>0</v>
      </c>
      <c r="BA15"/>
      <c r="BC15" s="2">
        <f>H15*G15</f>
        <v>0</v>
      </c>
      <c r="BD15" s="2">
        <f>IF('Study Information &amp; rates'!$B$44='Study Information &amp; rates'!$V$12,BC15*0.287,0)</f>
        <v>0</v>
      </c>
      <c r="BE15" s="2">
        <f>IF((Reconciliation!$C$15)&gt;5000,BC15*0.05,0)</f>
        <v>0</v>
      </c>
      <c r="BF15" s="2">
        <f>BC15+BD15+BE15</f>
        <v>0</v>
      </c>
      <c r="BG15" s="6" t="b">
        <f>IF($B15='Look Up'!$A$5,$H15)</f>
        <v>0</v>
      </c>
      <c r="BH15" s="6" t="b">
        <f>IF($B15='Look Up'!$A$6,$H15)</f>
        <v>0</v>
      </c>
      <c r="BI15" s="6" t="b">
        <f>IF($B15='Look Up'!$A$7,$H15)</f>
        <v>0</v>
      </c>
      <c r="BJ15" s="6" t="b">
        <f>IF($B15='Look Up'!$A$7,$H15)</f>
        <v>0</v>
      </c>
      <c r="BL15" s="6">
        <f>IF($B15='Look Up'!$A$6,$C15*$H15,0)+IF($B15='Look Up'!$A$7,$C15*$H15,0)</f>
        <v>0</v>
      </c>
      <c r="BM15" s="6">
        <f>IF($B15='Look Up'!$A$6,$D15*$H15,0)+IF($B15='Look Up'!$A$7,$D15*$H15,0)</f>
        <v>0</v>
      </c>
      <c r="BN15" s="6">
        <f>IF($B15='Look Up'!$A$6,$E15*$H15,0)+IF($B15='Look Up'!$A$7,$E15*$H15,0)</f>
        <v>0</v>
      </c>
      <c r="BO15" s="6">
        <f>IF($B15='Look Up'!$A$6,$F15*$H15,0)+IF($B15='Look Up'!$A$7,$F15*$H15,0)</f>
        <v>0</v>
      </c>
      <c r="BQ15" s="6">
        <f>$C15*'Study Information &amp; rates'!$B$101*IF('Study Information &amp; rates'!$B$44='Study Information &amp; rates'!$V$12,(SUM($H15:$AP15)*1.287),(SUM($H15:$AP15)))</f>
        <v>0</v>
      </c>
      <c r="BR15" s="6">
        <f>$D15*'Study Information &amp; rates'!$C$101*IF('Study Information &amp; rates'!$B$44='Study Information &amp; rates'!$V$12,(SUM($H15:$AP15)*1.287),(SUM($H15:$AP15)))</f>
        <v>0</v>
      </c>
      <c r="BS15" s="6">
        <f>$E15*'Study Information &amp; rates'!$D$101*IF('Study Information &amp; rates'!$B$44='Study Information &amp; rates'!$V$12,(SUM($H15:$AP15)*1.287),(SUM($H15:$AP15)))</f>
        <v>0</v>
      </c>
      <c r="BT15" s="6">
        <f>$F15*'Study Information &amp; rates'!$F$101*IF('Study Information &amp; rates'!$B$44='Study Information &amp; rates'!$V$12,(SUM($H15:$AP15)*1.287),(SUM($H15:$AP15)))</f>
        <v>0</v>
      </c>
    </row>
    <row r="16" spans="1:72">
      <c r="A16" s="320"/>
      <c r="B16" s="8"/>
      <c r="C16" s="181"/>
      <c r="D16" s="181"/>
      <c r="E16" s="181"/>
      <c r="F16" s="181"/>
      <c r="G16" s="532">
        <f>IF(ISERROR((C16*'Study Information &amp; rates'!$B$101+D16*'Study Information &amp; rates'!$C$101+E16*'Study Information &amp; rates'!$D$101+F16*'Study Information &amp; rates'!$F$101)),0,(C16*'Study Information &amp; rates'!$B$101+D16*'Study Information &amp; rates'!$C$101+E16*'Study Information &amp; rates'!$D$101+F16*'Study Information &amp; rates'!$F$101))</f>
        <v>0</v>
      </c>
      <c r="H16" s="8"/>
      <c r="I16" s="8"/>
      <c r="J16" s="8"/>
      <c r="K16" s="8"/>
      <c r="L16" s="8"/>
      <c r="M16" s="8"/>
      <c r="N16" s="319"/>
      <c r="O16" s="319"/>
      <c r="P16" s="319"/>
      <c r="Q16" s="319"/>
      <c r="R16" s="319"/>
      <c r="S16" s="319"/>
      <c r="T16" s="319"/>
      <c r="U16" s="319"/>
      <c r="V16" s="319"/>
      <c r="W16" s="319"/>
      <c r="X16" s="316"/>
      <c r="Y16" s="313"/>
      <c r="Z16" s="313"/>
      <c r="AA16" s="313"/>
      <c r="AB16" s="313"/>
      <c r="AC16" s="8"/>
      <c r="AD16" s="8"/>
      <c r="AE16" s="8"/>
      <c r="AF16" s="8"/>
      <c r="AG16" s="8"/>
      <c r="AH16" s="8"/>
      <c r="AI16" s="8"/>
      <c r="AJ16" s="8"/>
      <c r="AK16" s="8"/>
      <c r="AL16" s="8"/>
      <c r="AM16" s="8"/>
      <c r="AN16" s="8"/>
      <c r="AO16" s="8"/>
      <c r="AP16" s="8"/>
      <c r="AQ16" s="428"/>
      <c r="AR16" s="440">
        <f>(SUM(H16:AP16))*G16</f>
        <v>0</v>
      </c>
      <c r="AS16" s="440">
        <f>IF('Study Information &amp; rates'!$B$44="Yes",AR16*0.287,0)</f>
        <v>0</v>
      </c>
      <c r="AT16" s="440">
        <f>IF('Study Information &amp; rates'!$B$44="No",0,AR16*0.05)</f>
        <v>0</v>
      </c>
      <c r="AU16" s="440">
        <f>AR16+AS16+AT16</f>
        <v>0</v>
      </c>
      <c r="AV16" s="440">
        <f>'Set-up and other costs'!$B$18*'Per patient Arm 2'!AU16</f>
        <v>0</v>
      </c>
      <c r="BA16"/>
      <c r="BC16" s="2">
        <f>H16*G16</f>
        <v>0</v>
      </c>
      <c r="BD16" s="2">
        <f>IF('Study Information &amp; rates'!$B$44='Study Information &amp; rates'!$V$12,BC16*0.287,0)</f>
        <v>0</v>
      </c>
      <c r="BE16" s="2">
        <f>IF((Reconciliation!$C$15)&gt;5000,BC16*0.05,0)</f>
        <v>0</v>
      </c>
      <c r="BF16" s="2">
        <f>BC16+BD16+BE16</f>
        <v>0</v>
      </c>
      <c r="BG16" s="6" t="b">
        <f>IF($B16='Look Up'!$A$5,$H16)</f>
        <v>0</v>
      </c>
      <c r="BH16" s="6" t="b">
        <f>IF($B16='Look Up'!$A$6,$H16)</f>
        <v>0</v>
      </c>
      <c r="BI16" s="6" t="b">
        <f>IF($B16='Look Up'!$A$7,$H16)</f>
        <v>0</v>
      </c>
      <c r="BJ16" s="6" t="b">
        <f>IF($B16='Look Up'!$A$7,$H16)</f>
        <v>0</v>
      </c>
      <c r="BL16" s="6">
        <f>IF($B16='Look Up'!$A$6,$C16*$H16,0)+IF($B16='Look Up'!$A$7,$C16*$H16,0)</f>
        <v>0</v>
      </c>
      <c r="BM16" s="6">
        <f>IF($B16='Look Up'!$A$6,$D16*$H16,0)+IF($B16='Look Up'!$A$7,$D16*$H16,0)</f>
        <v>0</v>
      </c>
      <c r="BN16" s="6">
        <f>IF($B16='Look Up'!$A$6,$E16*$H16,0)+IF($B16='Look Up'!$A$7,$E16*$H16,0)</f>
        <v>0</v>
      </c>
      <c r="BO16" s="6">
        <f>IF($B16='Look Up'!$A$6,$F16*$H16,0)+IF($B16='Look Up'!$A$7,$F16*$H16,0)</f>
        <v>0</v>
      </c>
      <c r="BQ16" s="6">
        <f>$C16*'Study Information &amp; rates'!$B$101*IF('Study Information &amp; rates'!$B$44='Study Information &amp; rates'!$V$12,(SUM($H16:$AP16)*1.287),(SUM($H16:$AP16)))</f>
        <v>0</v>
      </c>
      <c r="BR16" s="6">
        <f>$D16*'Study Information &amp; rates'!$C$101*IF('Study Information &amp; rates'!$B$44='Study Information &amp; rates'!$V$12,(SUM($H16:$AP16)*1.287),(SUM($H16:$AP16)))</f>
        <v>0</v>
      </c>
      <c r="BS16" s="6">
        <f>$E16*'Study Information &amp; rates'!$D$101*IF('Study Information &amp; rates'!$B$44='Study Information &amp; rates'!$V$12,(SUM($H16:$AP16)*1.287),(SUM($H16:$AP16)))</f>
        <v>0</v>
      </c>
      <c r="BT16" s="6">
        <f>$F16*'Study Information &amp; rates'!$F$101*IF('Study Information &amp; rates'!$B$44='Study Information &amp; rates'!$V$12,(SUM($H16:$AP16)*1.287),(SUM($H16:$AP16)))</f>
        <v>0</v>
      </c>
    </row>
    <row r="17" spans="1:72">
      <c r="A17" s="320"/>
      <c r="B17" s="8"/>
      <c r="C17" s="181"/>
      <c r="D17" s="181"/>
      <c r="E17" s="181"/>
      <c r="F17" s="181"/>
      <c r="G17" s="532">
        <f>IF(ISERROR((C17*'Study Information &amp; rates'!$B$101+D17*'Study Information &amp; rates'!$C$101+E17*'Study Information &amp; rates'!$D$101+F17*'Study Information &amp; rates'!$F$101)),0,(C17*'Study Information &amp; rates'!$B$101+D17*'Study Information &amp; rates'!$C$101+E17*'Study Information &amp; rates'!$D$101+F17*'Study Information &amp; rates'!$F$101))</f>
        <v>0</v>
      </c>
      <c r="H17" s="8"/>
      <c r="I17" s="8"/>
      <c r="J17" s="8"/>
      <c r="K17" s="8"/>
      <c r="L17" s="8"/>
      <c r="M17" s="8"/>
      <c r="N17" s="319"/>
      <c r="O17" s="319"/>
      <c r="P17" s="319"/>
      <c r="Q17" s="319"/>
      <c r="R17" s="319"/>
      <c r="S17" s="319"/>
      <c r="T17" s="319"/>
      <c r="U17" s="319"/>
      <c r="V17" s="319"/>
      <c r="W17" s="319"/>
      <c r="X17" s="316"/>
      <c r="Y17" s="313"/>
      <c r="Z17" s="313"/>
      <c r="AA17" s="313"/>
      <c r="AB17" s="313"/>
      <c r="AC17" s="8"/>
      <c r="AD17" s="8"/>
      <c r="AE17" s="8"/>
      <c r="AF17" s="8"/>
      <c r="AG17" s="8"/>
      <c r="AH17" s="8"/>
      <c r="AI17" s="8"/>
      <c r="AJ17" s="8"/>
      <c r="AK17" s="8"/>
      <c r="AL17" s="8"/>
      <c r="AM17" s="8"/>
      <c r="AN17" s="8"/>
      <c r="AO17" s="8"/>
      <c r="AP17" s="8"/>
      <c r="AQ17" s="428"/>
      <c r="AR17" s="440">
        <f>(SUM(H17:AP17))*G17</f>
        <v>0</v>
      </c>
      <c r="AS17" s="440">
        <f>IF('Study Information &amp; rates'!$B$44="Yes",AR17*0.287,0)</f>
        <v>0</v>
      </c>
      <c r="AT17" s="440">
        <f>IF('Study Information &amp; rates'!$B$44="No",0,AR17*0.05)</f>
        <v>0</v>
      </c>
      <c r="AU17" s="440">
        <f>AR17+AS17+AT17</f>
        <v>0</v>
      </c>
      <c r="AV17" s="440">
        <f>'Set-up and other costs'!$B$18*'Per patient Arm 2'!AU17</f>
        <v>0</v>
      </c>
      <c r="BA17"/>
      <c r="BC17" s="2">
        <f>H17*G17</f>
        <v>0</v>
      </c>
      <c r="BD17" s="2">
        <f>IF('Study Information &amp; rates'!$B$44='Study Information &amp; rates'!$V$12,BC17*0.287,0)</f>
        <v>0</v>
      </c>
      <c r="BE17" s="2">
        <f>IF((Reconciliation!$C$15)&gt;5000,BC17*0.05,0)</f>
        <v>0</v>
      </c>
      <c r="BF17" s="2">
        <f>BC17+BD17+BE17</f>
        <v>0</v>
      </c>
      <c r="BG17" s="6" t="b">
        <f>IF($B17='Look Up'!$A$5,$H17)</f>
        <v>0</v>
      </c>
      <c r="BH17" s="6" t="b">
        <f>IF($B17='Look Up'!$A$6,$H17)</f>
        <v>0</v>
      </c>
      <c r="BI17" s="6" t="b">
        <f>IF($B17='Look Up'!$A$7,$H17)</f>
        <v>0</v>
      </c>
      <c r="BJ17" s="6" t="b">
        <f>IF($B17='Look Up'!$A$7,$H17)</f>
        <v>0</v>
      </c>
      <c r="BL17" s="6">
        <f>IF($B17='Look Up'!$A$6,$C17*$H17,0)+IF($B17='Look Up'!$A$7,$C17*$H17,0)</f>
        <v>0</v>
      </c>
      <c r="BM17" s="6">
        <f>IF($B17='Look Up'!$A$6,$D17*$H17,0)+IF($B17='Look Up'!$A$7,$D17*$H17,0)</f>
        <v>0</v>
      </c>
      <c r="BN17" s="6">
        <f>IF($B17='Look Up'!$A$6,$E17*$H17,0)+IF($B17='Look Up'!$A$7,$E17*$H17,0)</f>
        <v>0</v>
      </c>
      <c r="BO17" s="6">
        <f>IF($B17='Look Up'!$A$6,$F17*$H17,0)+IF($B17='Look Up'!$A$7,$F17*$H17,0)</f>
        <v>0</v>
      </c>
      <c r="BQ17" s="6">
        <f>$C17*'Study Information &amp; rates'!$B$101*IF('Study Information &amp; rates'!$B$44='Study Information &amp; rates'!$V$12,(SUM($H17:$AP17)*1.287),(SUM($H17:$AP17)))</f>
        <v>0</v>
      </c>
      <c r="BR17" s="6">
        <f>$D17*'Study Information &amp; rates'!$C$101*IF('Study Information &amp; rates'!$B$44='Study Information &amp; rates'!$V$12,(SUM($H17:$AP17)*1.287),(SUM($H17:$AP17)))</f>
        <v>0</v>
      </c>
      <c r="BS17" s="6">
        <f>$E17*'Study Information &amp; rates'!$D$101*IF('Study Information &amp; rates'!$B$44='Study Information &amp; rates'!$V$12,(SUM($H17:$AP17)*1.287),(SUM($H17:$AP17)))</f>
        <v>0</v>
      </c>
      <c r="BT17" s="6">
        <f>$F17*'Study Information &amp; rates'!$F$101*IF('Study Information &amp; rates'!$B$44='Study Information &amp; rates'!$V$12,(SUM($H17:$AP17)*1.287),(SUM($H17:$AP17)))</f>
        <v>0</v>
      </c>
    </row>
    <row r="18" spans="1:72">
      <c r="A18" s="320"/>
      <c r="B18" s="8"/>
      <c r="C18" s="181"/>
      <c r="D18" s="181"/>
      <c r="E18" s="181"/>
      <c r="F18" s="181"/>
      <c r="G18" s="532">
        <f>IF(ISERROR((C18*'Study Information &amp; rates'!$B$101+D18*'Study Information &amp; rates'!$C$101+E18*'Study Information &amp; rates'!$D$101+F18*'Study Information &amp; rates'!$F$101)),0,(C18*'Study Information &amp; rates'!$B$101+D18*'Study Information &amp; rates'!$C$101+E18*'Study Information &amp; rates'!$D$101+F18*'Study Information &amp; rates'!$F$101))</f>
        <v>0</v>
      </c>
      <c r="H18" s="8"/>
      <c r="I18" s="8"/>
      <c r="J18" s="8"/>
      <c r="K18" s="8"/>
      <c r="L18" s="8"/>
      <c r="M18" s="8"/>
      <c r="N18" s="319"/>
      <c r="O18" s="319"/>
      <c r="P18" s="319"/>
      <c r="Q18" s="319"/>
      <c r="R18" s="319"/>
      <c r="S18" s="319"/>
      <c r="T18" s="319"/>
      <c r="U18" s="319"/>
      <c r="V18" s="319"/>
      <c r="W18" s="319"/>
      <c r="X18" s="316"/>
      <c r="Y18" s="313"/>
      <c r="Z18" s="313"/>
      <c r="AA18" s="313"/>
      <c r="AB18" s="313"/>
      <c r="AC18" s="8"/>
      <c r="AD18" s="8"/>
      <c r="AE18" s="8"/>
      <c r="AF18" s="8"/>
      <c r="AG18" s="8"/>
      <c r="AH18" s="8"/>
      <c r="AI18" s="8"/>
      <c r="AJ18" s="8"/>
      <c r="AK18" s="8"/>
      <c r="AL18" s="8"/>
      <c r="AM18" s="8"/>
      <c r="AN18" s="8"/>
      <c r="AO18" s="8"/>
      <c r="AP18" s="8"/>
      <c r="AQ18" s="428"/>
      <c r="AR18" s="440">
        <f>(SUM(H18:AP18))*G18</f>
        <v>0</v>
      </c>
      <c r="AS18" s="440">
        <f>IF('Study Information &amp; rates'!$B$44="Yes",AR18*0.287,0)</f>
        <v>0</v>
      </c>
      <c r="AT18" s="440">
        <f>IF('Study Information &amp; rates'!$B$44="No",0,AR18*0.05)</f>
        <v>0</v>
      </c>
      <c r="AU18" s="440">
        <f>AR18+AS18+AT18</f>
        <v>0</v>
      </c>
      <c r="AV18" s="440">
        <f>'Set-up and other costs'!$B$18*'Per patient Arm 2'!AU18</f>
        <v>0</v>
      </c>
      <c r="BA18"/>
      <c r="BC18" s="2">
        <f>H18*G18</f>
        <v>0</v>
      </c>
      <c r="BD18" s="2">
        <f>IF('Study Information &amp; rates'!$B$44='Study Information &amp; rates'!$V$12,BC18*0.287,0)</f>
        <v>0</v>
      </c>
      <c r="BE18" s="2">
        <f>IF((Reconciliation!$C$15)&gt;5000,BC18*0.05,0)</f>
        <v>0</v>
      </c>
      <c r="BF18" s="2">
        <f>BC18+BD18+BE18</f>
        <v>0</v>
      </c>
      <c r="BG18" s="6" t="b">
        <f>IF($B18='Look Up'!$A$5,$H18)</f>
        <v>0</v>
      </c>
      <c r="BH18" s="6" t="b">
        <f>IF($B18='Look Up'!$A$6,$H18)</f>
        <v>0</v>
      </c>
      <c r="BI18" s="6" t="b">
        <f>IF($B18='Look Up'!$A$7,$H18)</f>
        <v>0</v>
      </c>
      <c r="BJ18" s="6" t="b">
        <f>IF($B18='Look Up'!$A$7,$H18)</f>
        <v>0</v>
      </c>
      <c r="BL18" s="6">
        <f>IF($B18='Look Up'!$A$6,$C18*$H18,0)+IF($B18='Look Up'!$A$7,$C18*$H18,0)</f>
        <v>0</v>
      </c>
      <c r="BM18" s="6">
        <f>IF($B18='Look Up'!$A$6,$D18*$H18,0)+IF($B18='Look Up'!$A$7,$D18*$H18,0)</f>
        <v>0</v>
      </c>
      <c r="BN18" s="6">
        <f>IF($B18='Look Up'!$A$6,$E18*$H18,0)+IF($B18='Look Up'!$A$7,$E18*$H18,0)</f>
        <v>0</v>
      </c>
      <c r="BO18" s="6">
        <f>IF($B18='Look Up'!$A$6,$F18*$H18,0)+IF($B18='Look Up'!$A$7,$F18*$H18,0)</f>
        <v>0</v>
      </c>
      <c r="BQ18" s="6">
        <f>$C18*'Study Information &amp; rates'!$B$101*IF('Study Information &amp; rates'!$B$44='Study Information &amp; rates'!$V$12,(SUM($H18:$AP18)*1.287),(SUM($H18:$AP18)))</f>
        <v>0</v>
      </c>
      <c r="BR18" s="6">
        <f>$D18*'Study Information &amp; rates'!$C$101*IF('Study Information &amp; rates'!$B$44='Study Information &amp; rates'!$V$12,(SUM($H18:$AP18)*1.287),(SUM($H18:$AP18)))</f>
        <v>0</v>
      </c>
      <c r="BS18" s="6">
        <f>$E18*'Study Information &amp; rates'!$D$101*IF('Study Information &amp; rates'!$B$44='Study Information &amp; rates'!$V$12,(SUM($H18:$AP18)*1.287),(SUM($H18:$AP18)))</f>
        <v>0</v>
      </c>
      <c r="BT18" s="6">
        <f>$F18*'Study Information &amp; rates'!$F$101*IF('Study Information &amp; rates'!$B$44='Study Information &amp; rates'!$V$12,(SUM($H18:$AP18)*1.287),(SUM($H18:$AP18)))</f>
        <v>0</v>
      </c>
    </row>
    <row r="19" spans="1:72">
      <c r="A19" s="320"/>
      <c r="B19" s="8"/>
      <c r="C19" s="181"/>
      <c r="D19" s="181"/>
      <c r="E19" s="181"/>
      <c r="F19" s="181"/>
      <c r="G19" s="532">
        <f>IF(ISERROR((C19*'Study Information &amp; rates'!$B$101+D19*'Study Information &amp; rates'!$C$101+E19*'Study Information &amp; rates'!$D$101+F19*'Study Information &amp; rates'!$F$101)),0,(C19*'Study Information &amp; rates'!$B$101+D19*'Study Information &amp; rates'!$C$101+E19*'Study Information &amp; rates'!$D$101+F19*'Study Information &amp; rates'!$F$101))</f>
        <v>0</v>
      </c>
      <c r="H19" s="8"/>
      <c r="I19" s="8"/>
      <c r="J19" s="8"/>
      <c r="K19" s="8"/>
      <c r="L19" s="8"/>
      <c r="M19" s="8"/>
      <c r="N19" s="319"/>
      <c r="O19" s="319"/>
      <c r="P19" s="319"/>
      <c r="Q19" s="319"/>
      <c r="R19" s="319"/>
      <c r="S19" s="319"/>
      <c r="T19" s="319"/>
      <c r="U19" s="319"/>
      <c r="V19" s="319"/>
      <c r="W19" s="319"/>
      <c r="X19" s="316"/>
      <c r="Y19" s="313"/>
      <c r="Z19" s="313"/>
      <c r="AA19" s="313"/>
      <c r="AB19" s="313"/>
      <c r="AC19" s="8"/>
      <c r="AD19" s="8"/>
      <c r="AE19" s="8"/>
      <c r="AF19" s="8"/>
      <c r="AG19" s="8"/>
      <c r="AH19" s="8"/>
      <c r="AI19" s="8"/>
      <c r="AJ19" s="8"/>
      <c r="AK19" s="8"/>
      <c r="AL19" s="8"/>
      <c r="AM19" s="8"/>
      <c r="AN19" s="8"/>
      <c r="AO19" s="8"/>
      <c r="AP19" s="8"/>
      <c r="AQ19" s="428"/>
      <c r="AR19" s="440">
        <f>(SUM(H19:AP19))*G19</f>
        <v>0</v>
      </c>
      <c r="AS19" s="440">
        <f>IF('Study Information &amp; rates'!$B$44="Yes",AR19*0.287,0)</f>
        <v>0</v>
      </c>
      <c r="AT19" s="440">
        <f>IF('Study Information &amp; rates'!$B$44="No",0,AR19*0.05)</f>
        <v>0</v>
      </c>
      <c r="AU19" s="440">
        <f>AR19+AS19+AT19</f>
        <v>0</v>
      </c>
      <c r="AV19" s="440">
        <f>'Set-up and other costs'!$B$18*'Per patient Arm 2'!AU19</f>
        <v>0</v>
      </c>
      <c r="BC19" s="2">
        <f>H19*G19</f>
        <v>0</v>
      </c>
      <c r="BD19" s="2">
        <f>IF('Study Information &amp; rates'!$B$44='Study Information &amp; rates'!$V$12,BC19*0.287,0)</f>
        <v>0</v>
      </c>
      <c r="BE19" s="2">
        <f>IF((Reconciliation!$C$15)&gt;5000,BC19*0.05,0)</f>
        <v>0</v>
      </c>
      <c r="BF19" s="2">
        <f>BC19+BD19+BE19</f>
        <v>0</v>
      </c>
      <c r="BG19" s="6" t="b">
        <f>IF($B19='Look Up'!$A$5,$H19)</f>
        <v>0</v>
      </c>
      <c r="BH19" s="6" t="b">
        <f>IF($B19='Look Up'!$A$6,$H19)</f>
        <v>0</v>
      </c>
      <c r="BI19" s="6" t="b">
        <f>IF($B19='Look Up'!$A$7,$H19)</f>
        <v>0</v>
      </c>
      <c r="BJ19" s="6" t="b">
        <f>IF($B19='Look Up'!$A$7,$H19)</f>
        <v>0</v>
      </c>
      <c r="BL19" s="6">
        <f>IF($B19='Look Up'!$A$6,$C19*$H19,0)+IF($B19='Look Up'!$A$7,$C19*$H19,0)</f>
        <v>0</v>
      </c>
      <c r="BM19" s="6">
        <f>IF($B19='Look Up'!$A$6,$D19*$H19,0)+IF($B19='Look Up'!$A$7,$D19*$H19,0)</f>
        <v>0</v>
      </c>
      <c r="BN19" s="6">
        <f>IF($B19='Look Up'!$A$6,$E19*$H19,0)+IF($B19='Look Up'!$A$7,$E19*$H19,0)</f>
        <v>0</v>
      </c>
      <c r="BO19" s="6">
        <f>IF($B19='Look Up'!$A$6,$F19*$H19,0)+IF($B19='Look Up'!$A$7,$F19*$H19,0)</f>
        <v>0</v>
      </c>
      <c r="BQ19" s="6">
        <f>$C19*'Study Information &amp; rates'!$B$101*IF('Study Information &amp; rates'!$B$44='Study Information &amp; rates'!$V$12,(SUM($H19:$AP19)*1.287),(SUM($H19:$AP19)))</f>
        <v>0</v>
      </c>
      <c r="BR19" s="6">
        <f>$D19*'Study Information &amp; rates'!$C$101*IF('Study Information &amp; rates'!$B$44='Study Information &amp; rates'!$V$12,(SUM($H19:$AP19)*1.287),(SUM($H19:$AP19)))</f>
        <v>0</v>
      </c>
      <c r="BS19" s="6">
        <f>$E19*'Study Information &amp; rates'!$D$101*IF('Study Information &amp; rates'!$B$44='Study Information &amp; rates'!$V$12,(SUM($H19:$AP19)*1.287),(SUM($H19:$AP19)))</f>
        <v>0</v>
      </c>
      <c r="BT19" s="6">
        <f>$F19*'Study Information &amp; rates'!$F$101*IF('Study Information &amp; rates'!$B$44='Study Information &amp; rates'!$V$12,(SUM($H19:$AP19)*1.287),(SUM($H19:$AP19)))</f>
        <v>0</v>
      </c>
    </row>
    <row r="20" spans="1:72">
      <c r="A20" s="320"/>
      <c r="B20" s="8"/>
      <c r="C20" s="181"/>
      <c r="D20" s="181"/>
      <c r="E20" s="181"/>
      <c r="F20" s="181"/>
      <c r="G20" s="532">
        <f>IF(ISERROR((C20*'Study Information &amp; rates'!$B$101+D20*'Study Information &amp; rates'!$C$101+E20*'Study Information &amp; rates'!$D$101+F20*'Study Information &amp; rates'!$F$101)),0,(C20*'Study Information &amp; rates'!$B$101+D20*'Study Information &amp; rates'!$C$101+E20*'Study Information &amp; rates'!$D$101+F20*'Study Information &amp; rates'!$F$101))</f>
        <v>0</v>
      </c>
      <c r="H20" s="8"/>
      <c r="I20" s="8"/>
      <c r="J20" s="8"/>
      <c r="K20" s="8"/>
      <c r="L20" s="8"/>
      <c r="M20" s="8"/>
      <c r="N20" s="319"/>
      <c r="O20" s="319"/>
      <c r="P20" s="319"/>
      <c r="Q20" s="319"/>
      <c r="R20" s="319"/>
      <c r="S20" s="319"/>
      <c r="T20" s="319"/>
      <c r="U20" s="319"/>
      <c r="V20" s="319"/>
      <c r="W20" s="319"/>
      <c r="X20" s="316"/>
      <c r="Y20" s="313"/>
      <c r="Z20" s="313"/>
      <c r="AA20" s="313"/>
      <c r="AB20" s="313"/>
      <c r="AC20" s="8"/>
      <c r="AD20" s="8"/>
      <c r="AE20" s="8"/>
      <c r="AF20" s="8"/>
      <c r="AG20" s="8"/>
      <c r="AH20" s="8"/>
      <c r="AI20" s="8"/>
      <c r="AJ20" s="8"/>
      <c r="AK20" s="8"/>
      <c r="AL20" s="8"/>
      <c r="AM20" s="8"/>
      <c r="AN20" s="8"/>
      <c r="AO20" s="8"/>
      <c r="AP20" s="8"/>
      <c r="AQ20" s="428"/>
      <c r="AR20" s="440">
        <f>(SUM(H20:AP20))*G20</f>
        <v>0</v>
      </c>
      <c r="AS20" s="440">
        <f>IF('Study Information &amp; rates'!$B$44="Yes",AR20*0.287,0)</f>
        <v>0</v>
      </c>
      <c r="AT20" s="440">
        <f>IF('Study Information &amp; rates'!$B$44="No",0,AR20*0.05)</f>
        <v>0</v>
      </c>
      <c r="AU20" s="440">
        <f>AR20+AS20+AT20</f>
        <v>0</v>
      </c>
      <c r="AV20" s="440">
        <f>'Set-up and other costs'!$B$18*'Per patient Arm 2'!AU20</f>
        <v>0</v>
      </c>
      <c r="BC20" s="2">
        <f>H20*G20</f>
        <v>0</v>
      </c>
      <c r="BD20" s="2">
        <f>IF('Study Information &amp; rates'!$B$44='Study Information &amp; rates'!$V$12,BC20*0.287,0)</f>
        <v>0</v>
      </c>
      <c r="BE20" s="2">
        <f>IF((Reconciliation!$C$15)&gt;5000,BC20*0.05,0)</f>
        <v>0</v>
      </c>
      <c r="BF20" s="2">
        <f>BC20+BD20+BE20</f>
        <v>0</v>
      </c>
      <c r="BG20" s="6" t="b">
        <f>IF($B20='Look Up'!$A$5,$H20)</f>
        <v>0</v>
      </c>
      <c r="BH20" s="6" t="b">
        <f>IF($B20='Look Up'!$A$6,$H20)</f>
        <v>0</v>
      </c>
      <c r="BI20" s="6" t="b">
        <f>IF($B20='Look Up'!$A$7,$H20)</f>
        <v>0</v>
      </c>
      <c r="BJ20" s="6" t="b">
        <f>IF($B20='Look Up'!$A$7,$H20)</f>
        <v>0</v>
      </c>
      <c r="BL20" s="6">
        <f>IF($B20='Look Up'!$A$6,$C20*$H20,0)+IF($B20='Look Up'!$A$7,$C20*$H20,0)</f>
        <v>0</v>
      </c>
      <c r="BM20" s="6">
        <f>IF($B20='Look Up'!$A$6,$D20*$H20,0)+IF($B20='Look Up'!$A$7,$D20*$H20,0)</f>
        <v>0</v>
      </c>
      <c r="BN20" s="6">
        <f>IF($B20='Look Up'!$A$6,$E20*$H20,0)+IF($B20='Look Up'!$A$7,$E20*$H20,0)</f>
        <v>0</v>
      </c>
      <c r="BO20" s="6">
        <f>IF($B20='Look Up'!$A$6,$F20*$H20,0)+IF($B20='Look Up'!$A$7,$F20*$H20,0)</f>
        <v>0</v>
      </c>
      <c r="BQ20" s="6">
        <f>$C20*'Study Information &amp; rates'!$B$101*IF('Study Information &amp; rates'!$B$44='Study Information &amp; rates'!$V$12,(SUM($H20:$AP20)*1.287),(SUM($H20:$AP20)))</f>
        <v>0</v>
      </c>
      <c r="BR20" s="6">
        <f>$D20*'Study Information &amp; rates'!$C$101*IF('Study Information &amp; rates'!$B$44='Study Information &amp; rates'!$V$12,(SUM($H20:$AP20)*1.287),(SUM($H20:$AP20)))</f>
        <v>0</v>
      </c>
      <c r="BS20" s="6">
        <f>$E20*'Study Information &amp; rates'!$D$101*IF('Study Information &amp; rates'!$B$44='Study Information &amp; rates'!$V$12,(SUM($H20:$AP20)*1.287),(SUM($H20:$AP20)))</f>
        <v>0</v>
      </c>
      <c r="BT20" s="6">
        <f>$F20*'Study Information &amp; rates'!$F$101*IF('Study Information &amp; rates'!$B$44='Study Information &amp; rates'!$V$12,(SUM($H20:$AP20)*1.287),(SUM($H20:$AP20)))</f>
        <v>0</v>
      </c>
    </row>
    <row r="21" spans="1:72">
      <c r="A21" s="320"/>
      <c r="B21" s="8"/>
      <c r="C21" s="181"/>
      <c r="D21" s="181"/>
      <c r="E21" s="181"/>
      <c r="F21" s="181"/>
      <c r="G21" s="532">
        <f>IF(ISERROR((C21*'Study Information &amp; rates'!$B$101+D21*'Study Information &amp; rates'!$C$101+E21*'Study Information &amp; rates'!$D$101+F21*'Study Information &amp; rates'!$F$101)),0,(C21*'Study Information &amp; rates'!$B$101+D21*'Study Information &amp; rates'!$C$101+E21*'Study Information &amp; rates'!$D$101+F21*'Study Information &amp; rates'!$F$101))</f>
        <v>0</v>
      </c>
      <c r="H21" s="327"/>
      <c r="I21" s="8"/>
      <c r="J21" s="8"/>
      <c r="K21" s="8"/>
      <c r="L21" s="8"/>
      <c r="M21" s="8"/>
      <c r="N21" s="319"/>
      <c r="O21" s="319"/>
      <c r="P21" s="319"/>
      <c r="Q21" s="319"/>
      <c r="R21" s="319"/>
      <c r="S21" s="319"/>
      <c r="T21" s="319"/>
      <c r="U21" s="319"/>
      <c r="V21" s="319"/>
      <c r="W21" s="319"/>
      <c r="X21" s="317"/>
      <c r="Y21" s="312"/>
      <c r="Z21" s="312"/>
      <c r="AA21" s="312"/>
      <c r="AB21" s="312"/>
      <c r="AC21" s="8"/>
      <c r="AD21" s="8"/>
      <c r="AE21" s="8"/>
      <c r="AF21" s="8"/>
      <c r="AG21" s="8"/>
      <c r="AH21" s="8"/>
      <c r="AI21" s="8"/>
      <c r="AJ21" s="8"/>
      <c r="AK21" s="8"/>
      <c r="AL21" s="8"/>
      <c r="AM21" s="8"/>
      <c r="AN21" s="8"/>
      <c r="AO21" s="8"/>
      <c r="AP21" s="8"/>
      <c r="AQ21" s="428"/>
      <c r="AR21" s="440">
        <f>(SUM(H21:AP21))*G21</f>
        <v>0</v>
      </c>
      <c r="AS21" s="440">
        <f>IF('Study Information &amp; rates'!$B$44="Yes",AR21*0.287,0)</f>
        <v>0</v>
      </c>
      <c r="AT21" s="440">
        <f>IF('Study Information &amp; rates'!$B$44="No",0,AR21*0.05)</f>
        <v>0</v>
      </c>
      <c r="AU21" s="440">
        <f>AR21+AS21+AT21</f>
        <v>0</v>
      </c>
      <c r="AV21" s="440">
        <f>'Set-up and other costs'!$B$18*'Per patient Arm 2'!AU21</f>
        <v>0</v>
      </c>
      <c r="BC21" s="2">
        <f>H21*G21</f>
        <v>0</v>
      </c>
      <c r="BD21" s="2">
        <f>IF('Study Information &amp; rates'!$B$44='Study Information &amp; rates'!$V$12,BC21*0.287,0)</f>
        <v>0</v>
      </c>
      <c r="BE21" s="2">
        <f>IF((Reconciliation!$C$15)&gt;5000,BC21*0.05,0)</f>
        <v>0</v>
      </c>
      <c r="BF21" s="2">
        <f>BC21+BD21+BE21</f>
        <v>0</v>
      </c>
      <c r="BG21" s="6" t="b">
        <f>IF($B21='Look Up'!$A$5,$H21)</f>
        <v>0</v>
      </c>
      <c r="BH21" s="6" t="b">
        <f>IF($B21='Look Up'!$A$6,$H21)</f>
        <v>0</v>
      </c>
      <c r="BI21" s="6" t="b">
        <f>IF($B21='Look Up'!$A$7,$H21)</f>
        <v>0</v>
      </c>
      <c r="BJ21" s="6" t="b">
        <f>IF($B21='Look Up'!$A$7,$H21)</f>
        <v>0</v>
      </c>
      <c r="BL21" s="6">
        <f>IF($B21='Look Up'!$A$6,$C21*$H21,0)+IF($B21='Look Up'!$A$7,$C21*$H21,0)</f>
        <v>0</v>
      </c>
      <c r="BM21" s="6">
        <f>IF($B21='Look Up'!$A$6,$D21*$H21,0)+IF($B21='Look Up'!$A$7,$D21*$H21,0)</f>
        <v>0</v>
      </c>
      <c r="BN21" s="6">
        <f>IF($B21='Look Up'!$A$6,$E21*$H21,0)+IF($B21='Look Up'!$A$7,$E21*$H21,0)</f>
        <v>0</v>
      </c>
      <c r="BO21" s="6">
        <f>IF($B21='Look Up'!$A$6,$F21*$H21,0)+IF($B21='Look Up'!$A$7,$F21*$H21,0)</f>
        <v>0</v>
      </c>
      <c r="BQ21" s="6">
        <f>$C21*'Study Information &amp; rates'!$B$101*IF('Study Information &amp; rates'!$B$44='Study Information &amp; rates'!$V$12,(SUM($H21:$AP21)*1.287),(SUM($H21:$AP21)))</f>
        <v>0</v>
      </c>
      <c r="BR21" s="6">
        <f>$D21*'Study Information &amp; rates'!$C$101*IF('Study Information &amp; rates'!$B$44='Study Information &amp; rates'!$V$12,(SUM($H21:$AP21)*1.287),(SUM($H21:$AP21)))</f>
        <v>0</v>
      </c>
      <c r="BS21" s="6">
        <f>$E21*'Study Information &amp; rates'!$D$101*IF('Study Information &amp; rates'!$B$44='Study Information &amp; rates'!$V$12,(SUM($H21:$AP21)*1.287),(SUM($H21:$AP21)))</f>
        <v>0</v>
      </c>
      <c r="BT21" s="6">
        <f>$F21*'Study Information &amp; rates'!$F$101*IF('Study Information &amp; rates'!$B$44='Study Information &amp; rates'!$V$12,(SUM($H21:$AP21)*1.287),(SUM($H21:$AP21)))</f>
        <v>0</v>
      </c>
    </row>
    <row r="22" spans="1:72">
      <c r="A22" s="320"/>
      <c r="B22" s="8"/>
      <c r="C22" s="181"/>
      <c r="D22" s="181"/>
      <c r="E22" s="181"/>
      <c r="F22" s="181"/>
      <c r="G22" s="532">
        <f>IF(ISERROR((C22*'Study Information &amp; rates'!$B$101+D22*'Study Information &amp; rates'!$C$101+E22*'Study Information &amp; rates'!$D$101+F22*'Study Information &amp; rates'!$F$101)),0,(C22*'Study Information &amp; rates'!$B$101+D22*'Study Information &amp; rates'!$C$101+E22*'Study Information &amp; rates'!$D$101+F22*'Study Information &amp; rates'!$F$101))</f>
        <v>0</v>
      </c>
      <c r="H22" s="327"/>
      <c r="I22" s="8"/>
      <c r="J22" s="8"/>
      <c r="K22" s="8"/>
      <c r="L22" s="8"/>
      <c r="M22" s="8"/>
      <c r="N22" s="319"/>
      <c r="O22" s="319"/>
      <c r="P22" s="319"/>
      <c r="Q22" s="319"/>
      <c r="R22" s="319"/>
      <c r="S22" s="319"/>
      <c r="T22" s="319"/>
      <c r="U22" s="319"/>
      <c r="V22" s="319"/>
      <c r="W22" s="319"/>
      <c r="X22" s="317"/>
      <c r="Y22" s="312"/>
      <c r="Z22" s="312"/>
      <c r="AA22" s="312"/>
      <c r="AB22" s="312"/>
      <c r="AC22" s="8"/>
      <c r="AD22" s="8"/>
      <c r="AE22" s="8"/>
      <c r="AF22" s="8"/>
      <c r="AG22" s="8"/>
      <c r="AH22" s="8"/>
      <c r="AI22" s="8"/>
      <c r="AJ22" s="8"/>
      <c r="AK22" s="8"/>
      <c r="AL22" s="8"/>
      <c r="AM22" s="8"/>
      <c r="AN22" s="8"/>
      <c r="AO22" s="8"/>
      <c r="AP22" s="8"/>
      <c r="AQ22" s="428"/>
      <c r="AR22" s="440">
        <f>(SUM(H22:AP22))*G22</f>
        <v>0</v>
      </c>
      <c r="AS22" s="440">
        <f>IF('Study Information &amp; rates'!$B$44="Yes",AR22*0.287,0)</f>
        <v>0</v>
      </c>
      <c r="AT22" s="440">
        <f>IF('Study Information &amp; rates'!$B$44="No",0,AR22*0.05)</f>
        <v>0</v>
      </c>
      <c r="AU22" s="440">
        <f>AR22+AS22+AT22</f>
        <v>0</v>
      </c>
      <c r="AV22" s="440">
        <f>'Set-up and other costs'!$B$18*'Per patient Arm 2'!AU22</f>
        <v>0</v>
      </c>
      <c r="BC22" s="2">
        <f>H22*G22</f>
        <v>0</v>
      </c>
      <c r="BD22" s="2">
        <f>IF('Study Information &amp; rates'!$B$44='Study Information &amp; rates'!$V$12,BC22*0.287,0)</f>
        <v>0</v>
      </c>
      <c r="BE22" s="2">
        <f>IF((Reconciliation!$C$15)&gt;5000,BC22*0.05,0)</f>
        <v>0</v>
      </c>
      <c r="BF22" s="2">
        <f>BC22+BD22+BE22</f>
        <v>0</v>
      </c>
      <c r="BG22" s="6" t="b">
        <f>IF($B22='Look Up'!$A$5,$H22)</f>
        <v>0</v>
      </c>
      <c r="BH22" s="6" t="b">
        <f>IF($B22='Look Up'!$A$6,$H22)</f>
        <v>0</v>
      </c>
      <c r="BI22" s="6" t="b">
        <f>IF($B22='Look Up'!$A$7,$H22)</f>
        <v>0</v>
      </c>
      <c r="BJ22" s="6" t="b">
        <f>IF($B22='Look Up'!$A$7,$H22)</f>
        <v>0</v>
      </c>
      <c r="BL22" s="6">
        <f>IF($B22='Look Up'!$A$6,$C22*$H22,0)+IF($B22='Look Up'!$A$7,$C22*$H22,0)</f>
        <v>0</v>
      </c>
      <c r="BM22" s="6">
        <f>IF($B22='Look Up'!$A$6,$D22*$H22,0)+IF($B22='Look Up'!$A$7,$D22*$H22,0)</f>
        <v>0</v>
      </c>
      <c r="BN22" s="6">
        <f>IF($B22='Look Up'!$A$6,$E22*$H22,0)+IF($B22='Look Up'!$A$7,$E22*$H22,0)</f>
        <v>0</v>
      </c>
      <c r="BO22" s="6">
        <f>IF($B22='Look Up'!$A$6,$F22*$H22,0)+IF($B22='Look Up'!$A$7,$F22*$H22,0)</f>
        <v>0</v>
      </c>
      <c r="BQ22" s="6">
        <f>$C22*'Study Information &amp; rates'!$B$101*IF('Study Information &amp; rates'!$B$44='Study Information &amp; rates'!$V$12,(SUM($H22:$AP22)*1.287),(SUM($H22:$AP22)))</f>
        <v>0</v>
      </c>
      <c r="BR22" s="6">
        <f>$D22*'Study Information &amp; rates'!$C$101*IF('Study Information &amp; rates'!$B$44='Study Information &amp; rates'!$V$12,(SUM($H22:$AP22)*1.287),(SUM($H22:$AP22)))</f>
        <v>0</v>
      </c>
      <c r="BS22" s="6">
        <f>$E22*'Study Information &amp; rates'!$D$101*IF('Study Information &amp; rates'!$B$44='Study Information &amp; rates'!$V$12,(SUM($H22:$AP22)*1.287),(SUM($H22:$AP22)))</f>
        <v>0</v>
      </c>
      <c r="BT22" s="6">
        <f>$F22*'Study Information &amp; rates'!$F$101*IF('Study Information &amp; rates'!$B$44='Study Information &amp; rates'!$V$12,(SUM($H22:$AP22)*1.287),(SUM($H22:$AP22)))</f>
        <v>0</v>
      </c>
    </row>
    <row r="23" spans="1:72">
      <c r="A23" s="320"/>
      <c r="B23" s="8"/>
      <c r="C23" s="181"/>
      <c r="D23" s="181"/>
      <c r="E23" s="181"/>
      <c r="F23" s="181"/>
      <c r="G23" s="532">
        <f>IF(ISERROR((C23*'Study Information &amp; rates'!$B$101+D23*'Study Information &amp; rates'!$C$101+E23*'Study Information &amp; rates'!$D$101+F23*'Study Information &amp; rates'!$F$101)),0,(C23*'Study Information &amp; rates'!$B$101+D23*'Study Information &amp; rates'!$C$101+E23*'Study Information &amp; rates'!$D$101+F23*'Study Information &amp; rates'!$F$101))</f>
        <v>0</v>
      </c>
      <c r="H23" s="327"/>
      <c r="I23" s="8"/>
      <c r="J23" s="8"/>
      <c r="K23" s="8"/>
      <c r="L23" s="8"/>
      <c r="M23" s="8"/>
      <c r="N23" s="319"/>
      <c r="O23" s="319"/>
      <c r="P23" s="319"/>
      <c r="Q23" s="319"/>
      <c r="R23" s="319"/>
      <c r="S23" s="319"/>
      <c r="T23" s="319"/>
      <c r="U23" s="319"/>
      <c r="V23" s="319"/>
      <c r="W23" s="319"/>
      <c r="X23" s="317"/>
      <c r="Y23" s="312"/>
      <c r="Z23" s="312"/>
      <c r="AA23" s="312"/>
      <c r="AB23" s="312"/>
      <c r="AC23" s="8"/>
      <c r="AD23" s="8"/>
      <c r="AE23" s="8"/>
      <c r="AF23" s="8"/>
      <c r="AG23" s="8"/>
      <c r="AH23" s="8"/>
      <c r="AI23" s="8"/>
      <c r="AJ23" s="8"/>
      <c r="AK23" s="8"/>
      <c r="AL23" s="8"/>
      <c r="AM23" s="8"/>
      <c r="AN23" s="8"/>
      <c r="AO23" s="8"/>
      <c r="AP23" s="8"/>
      <c r="AQ23" s="428"/>
      <c r="AR23" s="440">
        <f>(SUM(H23:AP23))*G23</f>
        <v>0</v>
      </c>
      <c r="AS23" s="440">
        <f>IF('Study Information &amp; rates'!$B$44="Yes",AR23*0.287,0)</f>
        <v>0</v>
      </c>
      <c r="AT23" s="440">
        <f>IF('Study Information &amp; rates'!$B$44="No",0,AR23*0.05)</f>
        <v>0</v>
      </c>
      <c r="AU23" s="440">
        <f>AR23+AS23+AT23</f>
        <v>0</v>
      </c>
      <c r="AV23" s="440">
        <f>'Set-up and other costs'!$B$18*'Per patient Arm 2'!AU23</f>
        <v>0</v>
      </c>
      <c r="BC23" s="2">
        <f>H23*G23</f>
        <v>0</v>
      </c>
      <c r="BD23" s="2">
        <f>IF('Study Information &amp; rates'!$B$44='Study Information &amp; rates'!$V$12,BC23*0.287,0)</f>
        <v>0</v>
      </c>
      <c r="BE23" s="2">
        <f>IF((Reconciliation!$C$15)&gt;5000,BC23*0.05,0)</f>
        <v>0</v>
      </c>
      <c r="BF23" s="2">
        <f>BC23+BD23+BE23</f>
        <v>0</v>
      </c>
      <c r="BG23" s="6" t="b">
        <f>IF($B23='Look Up'!$A$5,$H23)</f>
        <v>0</v>
      </c>
      <c r="BH23" s="6" t="b">
        <f>IF($B23='Look Up'!$A$6,$H23)</f>
        <v>0</v>
      </c>
      <c r="BI23" s="6" t="b">
        <f>IF($B23='Look Up'!$A$7,$H23)</f>
        <v>0</v>
      </c>
      <c r="BJ23" s="6" t="b">
        <f>IF($B23='Look Up'!$A$7,$H23)</f>
        <v>0</v>
      </c>
      <c r="BL23" s="6">
        <f>IF($B23='Look Up'!$A$6,$C23*$H23,0)+IF($B23='Look Up'!$A$7,$C23*$H23,0)</f>
        <v>0</v>
      </c>
      <c r="BM23" s="6">
        <f>IF($B23='Look Up'!$A$6,$D23*$H23,0)+IF($B23='Look Up'!$A$7,$D23*$H23,0)</f>
        <v>0</v>
      </c>
      <c r="BN23" s="6">
        <f>IF($B23='Look Up'!$A$6,$E23*$H23,0)+IF($B23='Look Up'!$A$7,$E23*$H23,0)</f>
        <v>0</v>
      </c>
      <c r="BO23" s="6">
        <f>IF($B23='Look Up'!$A$6,$F23*$H23,0)+IF($B23='Look Up'!$A$7,$F23*$H23,0)</f>
        <v>0</v>
      </c>
      <c r="BQ23" s="6">
        <f>$C23*'Study Information &amp; rates'!$B$101*IF('Study Information &amp; rates'!$B$44='Study Information &amp; rates'!$V$12,(SUM($H23:$AP23)*1.287),(SUM($H23:$AP23)))</f>
        <v>0</v>
      </c>
      <c r="BR23" s="6">
        <f>$D23*'Study Information &amp; rates'!$C$101*IF('Study Information &amp; rates'!$B$44='Study Information &amp; rates'!$V$12,(SUM($H23:$AP23)*1.287),(SUM($H23:$AP23)))</f>
        <v>0</v>
      </c>
      <c r="BS23" s="6">
        <f>$E23*'Study Information &amp; rates'!$D$101*IF('Study Information &amp; rates'!$B$44='Study Information &amp; rates'!$V$12,(SUM($H23:$AP23)*1.287),(SUM($H23:$AP23)))</f>
        <v>0</v>
      </c>
      <c r="BT23" s="6">
        <f>$F23*'Study Information &amp; rates'!$F$101*IF('Study Information &amp; rates'!$B$44='Study Information &amp; rates'!$V$12,(SUM($H23:$AP23)*1.287),(SUM($H23:$AP23)))</f>
        <v>0</v>
      </c>
    </row>
    <row r="24" spans="1:72">
      <c r="A24" s="320"/>
      <c r="B24" s="8"/>
      <c r="C24" s="181"/>
      <c r="D24" s="181"/>
      <c r="E24" s="181"/>
      <c r="F24" s="181"/>
      <c r="G24" s="532">
        <f>IF(ISERROR((C24*'Study Information &amp; rates'!$B$101+D24*'Study Information &amp; rates'!$C$101+E24*'Study Information &amp; rates'!$D$101+F24*'Study Information &amp; rates'!$F$101)),0,(C24*'Study Information &amp; rates'!$B$101+D24*'Study Information &amp; rates'!$C$101+E24*'Study Information &amp; rates'!$D$101+F24*'Study Information &amp; rates'!$F$101))</f>
        <v>0</v>
      </c>
      <c r="H24" s="8"/>
      <c r="I24" s="8"/>
      <c r="J24" s="8"/>
      <c r="K24" s="8"/>
      <c r="L24" s="8"/>
      <c r="M24" s="8"/>
      <c r="N24" s="319"/>
      <c r="O24" s="319"/>
      <c r="P24" s="319"/>
      <c r="Q24" s="319"/>
      <c r="R24" s="319"/>
      <c r="S24" s="319"/>
      <c r="T24" s="319"/>
      <c r="U24" s="319"/>
      <c r="V24" s="319"/>
      <c r="W24" s="319"/>
      <c r="X24" s="317"/>
      <c r="Y24" s="312"/>
      <c r="Z24" s="312"/>
      <c r="AA24" s="312"/>
      <c r="AB24" s="312"/>
      <c r="AC24" s="8"/>
      <c r="AD24" s="8"/>
      <c r="AE24" s="8"/>
      <c r="AF24" s="8"/>
      <c r="AG24" s="8"/>
      <c r="AH24" s="8"/>
      <c r="AI24" s="8"/>
      <c r="AJ24" s="8"/>
      <c r="AK24" s="8"/>
      <c r="AL24" s="8"/>
      <c r="AM24" s="8"/>
      <c r="AN24" s="8"/>
      <c r="AO24" s="8"/>
      <c r="AP24" s="8"/>
      <c r="AQ24" s="428"/>
      <c r="AR24" s="440">
        <f>(SUM(H24:AP24))*G24</f>
        <v>0</v>
      </c>
      <c r="AS24" s="440">
        <f>IF('Study Information &amp; rates'!$B$44="Yes",AR24*0.287,0)</f>
        <v>0</v>
      </c>
      <c r="AT24" s="440">
        <f>IF('Study Information &amp; rates'!$B$44="No",0,AR24*0.05)</f>
        <v>0</v>
      </c>
      <c r="AU24" s="440">
        <f>AR24+AS24+AT24</f>
        <v>0</v>
      </c>
      <c r="AV24" s="440">
        <f>'Set-up and other costs'!$B$18*'Per patient Arm 2'!AU24</f>
        <v>0</v>
      </c>
      <c r="BC24" s="2">
        <f>H24*G24</f>
        <v>0</v>
      </c>
      <c r="BD24" s="2">
        <f>IF('Study Information &amp; rates'!$B$44='Study Information &amp; rates'!$V$12,BC24*0.287,0)</f>
        <v>0</v>
      </c>
      <c r="BE24" s="2">
        <f>IF((Reconciliation!$C$15)&gt;5000,BC24*0.05,0)</f>
        <v>0</v>
      </c>
      <c r="BF24" s="2">
        <f>BC24+BD24+BE24</f>
        <v>0</v>
      </c>
      <c r="BG24" s="6" t="b">
        <f>IF($B24='Look Up'!$A$5,$H24)</f>
        <v>0</v>
      </c>
      <c r="BH24" s="6" t="b">
        <f>IF($B24='Look Up'!$A$6,$H24)</f>
        <v>0</v>
      </c>
      <c r="BI24" s="6" t="b">
        <f>IF($B24='Look Up'!$A$7,$H24)</f>
        <v>0</v>
      </c>
      <c r="BJ24" s="6" t="b">
        <f>IF($B24='Look Up'!$A$7,$H24)</f>
        <v>0</v>
      </c>
      <c r="BL24" s="6">
        <f>IF($B24='Look Up'!$A$6,$C24*$H24,0)+IF($B24='Look Up'!$A$7,$C24*$H24,0)</f>
        <v>0</v>
      </c>
      <c r="BM24" s="6">
        <f>IF($B24='Look Up'!$A$6,$D24*$H24,0)+IF($B24='Look Up'!$A$7,$D24*$H24,0)</f>
        <v>0</v>
      </c>
      <c r="BN24" s="6">
        <f>IF($B24='Look Up'!$A$6,$E24*$H24,0)+IF($B24='Look Up'!$A$7,$E24*$H24,0)</f>
        <v>0</v>
      </c>
      <c r="BO24" s="6">
        <f>IF($B24='Look Up'!$A$6,$F24*$H24,0)+IF($B24='Look Up'!$A$7,$F24*$H24,0)</f>
        <v>0</v>
      </c>
      <c r="BQ24" s="6">
        <f>$C24*'Study Information &amp; rates'!$B$101*IF('Study Information &amp; rates'!$B$44='Study Information &amp; rates'!$V$12,(SUM($H24:$AP24)*1.287),(SUM($H24:$AP24)))</f>
        <v>0</v>
      </c>
      <c r="BR24" s="6">
        <f>$D24*'Study Information &amp; rates'!$C$101*IF('Study Information &amp; rates'!$B$44='Study Information &amp; rates'!$V$12,(SUM($H24:$AP24)*1.287),(SUM($H24:$AP24)))</f>
        <v>0</v>
      </c>
      <c r="BS24" s="6">
        <f>$E24*'Study Information &amp; rates'!$D$101*IF('Study Information &amp; rates'!$B$44='Study Information &amp; rates'!$V$12,(SUM($H24:$AP24)*1.287),(SUM($H24:$AP24)))</f>
        <v>0</v>
      </c>
      <c r="BT24" s="6">
        <f>$F24*'Study Information &amp; rates'!$F$101*IF('Study Information &amp; rates'!$B$44='Study Information &amp; rates'!$V$12,(SUM($H24:$AP24)*1.287),(SUM($H24:$AP24)))</f>
        <v>0</v>
      </c>
    </row>
    <row r="25" spans="1:72">
      <c r="A25" s="320"/>
      <c r="B25" s="8"/>
      <c r="C25" s="181"/>
      <c r="D25" s="181"/>
      <c r="E25" s="181"/>
      <c r="F25" s="181"/>
      <c r="G25" s="532">
        <f>IF(ISERROR((C25*'Study Information &amp; rates'!$B$101+D25*'Study Information &amp; rates'!$C$101+E25*'Study Information &amp; rates'!$D$101+F25*'Study Information &amp; rates'!$F$101)),0,(C25*'Study Information &amp; rates'!$B$101+D25*'Study Information &amp; rates'!$C$101+E25*'Study Information &amp; rates'!$D$101+F25*'Study Information &amp; rates'!$F$101))</f>
        <v>0</v>
      </c>
      <c r="H25" s="8"/>
      <c r="I25" s="8"/>
      <c r="J25" s="8"/>
      <c r="K25" s="8"/>
      <c r="L25" s="8"/>
      <c r="M25" s="8"/>
      <c r="N25" s="319"/>
      <c r="O25" s="319"/>
      <c r="P25" s="319"/>
      <c r="Q25" s="319"/>
      <c r="R25" s="319"/>
      <c r="S25" s="319"/>
      <c r="T25" s="319"/>
      <c r="U25" s="319"/>
      <c r="V25" s="319"/>
      <c r="W25" s="319"/>
      <c r="X25" s="317"/>
      <c r="Y25" s="312"/>
      <c r="Z25" s="312"/>
      <c r="AA25" s="312"/>
      <c r="AB25" s="312"/>
      <c r="AC25" s="8"/>
      <c r="AD25" s="8"/>
      <c r="AE25" s="8"/>
      <c r="AF25" s="8"/>
      <c r="AG25" s="8"/>
      <c r="AH25" s="8"/>
      <c r="AI25" s="8"/>
      <c r="AJ25" s="8"/>
      <c r="AK25" s="8"/>
      <c r="AL25" s="8"/>
      <c r="AM25" s="8"/>
      <c r="AN25" s="8"/>
      <c r="AO25" s="8"/>
      <c r="AP25" s="8"/>
      <c r="AQ25" s="428"/>
      <c r="AR25" s="440">
        <f>(SUM(H25:AP25))*G25</f>
        <v>0</v>
      </c>
      <c r="AS25" s="440">
        <f>IF('Study Information &amp; rates'!$B$44="Yes",AR25*0.287,0)</f>
        <v>0</v>
      </c>
      <c r="AT25" s="440">
        <f>IF('Study Information &amp; rates'!$B$44="No",0,AR25*0.05)</f>
        <v>0</v>
      </c>
      <c r="AU25" s="440">
        <f>AR25+AS25+AT25</f>
        <v>0</v>
      </c>
      <c r="AV25" s="440">
        <f>'Set-up and other costs'!$B$18*'Per patient Arm 2'!AU25</f>
        <v>0</v>
      </c>
      <c r="BC25" s="2">
        <f>H25*G25</f>
        <v>0</v>
      </c>
      <c r="BD25" s="2">
        <f>IF('Study Information &amp; rates'!$B$44='Study Information &amp; rates'!$V$12,BC25*0.287,0)</f>
        <v>0</v>
      </c>
      <c r="BE25" s="2">
        <f>IF((Reconciliation!$C$15)&gt;5000,BC25*0.05,0)</f>
        <v>0</v>
      </c>
      <c r="BF25" s="2">
        <f>BC25+BD25+BE25</f>
        <v>0</v>
      </c>
      <c r="BG25" s="6" t="b">
        <f>IF($B25='Look Up'!$A$5,$H25)</f>
        <v>0</v>
      </c>
      <c r="BH25" s="6" t="b">
        <f>IF($B25='Look Up'!$A$6,$H25)</f>
        <v>0</v>
      </c>
      <c r="BI25" s="6" t="b">
        <f>IF($B25='Look Up'!$A$7,$H25)</f>
        <v>0</v>
      </c>
      <c r="BJ25" s="6" t="b">
        <f>IF($B25='Look Up'!$A$7,$H25)</f>
        <v>0</v>
      </c>
      <c r="BL25" s="6">
        <f>IF($B25='Look Up'!$A$6,$C25*$H25,0)+IF($B25='Look Up'!$A$7,$C25*$H25,0)</f>
        <v>0</v>
      </c>
      <c r="BM25" s="6">
        <f>IF($B25='Look Up'!$A$6,$D25*$H25,0)+IF($B25='Look Up'!$A$7,$D25*$H25,0)</f>
        <v>0</v>
      </c>
      <c r="BN25" s="6">
        <f>IF($B25='Look Up'!$A$6,$E25*$H25,0)+IF($B25='Look Up'!$A$7,$E25*$H25,0)</f>
        <v>0</v>
      </c>
      <c r="BO25" s="6">
        <f>IF($B25='Look Up'!$A$6,$F25*$H25,0)+IF($B25='Look Up'!$A$7,$F25*$H25,0)</f>
        <v>0</v>
      </c>
      <c r="BQ25" s="6">
        <f>$C25*'Study Information &amp; rates'!$B$101*IF('Study Information &amp; rates'!$B$44='Study Information &amp; rates'!$V$12,(SUM($H25:$AP25)*1.287),(SUM($H25:$AP25)))</f>
        <v>0</v>
      </c>
      <c r="BR25" s="6">
        <f>$D25*'Study Information &amp; rates'!$C$101*IF('Study Information &amp; rates'!$B$44='Study Information &amp; rates'!$V$12,(SUM($H25:$AP25)*1.287),(SUM($H25:$AP25)))</f>
        <v>0</v>
      </c>
      <c r="BS25" s="6">
        <f>$E25*'Study Information &amp; rates'!$D$101*IF('Study Information &amp; rates'!$B$44='Study Information &amp; rates'!$V$12,(SUM($H25:$AP25)*1.287),(SUM($H25:$AP25)))</f>
        <v>0</v>
      </c>
      <c r="BT25" s="6">
        <f>$F25*'Study Information &amp; rates'!$F$101*IF('Study Information &amp; rates'!$B$44='Study Information &amp; rates'!$V$12,(SUM($H25:$AP25)*1.287),(SUM($H25:$AP25)))</f>
        <v>0</v>
      </c>
    </row>
    <row r="26" spans="1:72">
      <c r="A26" s="320"/>
      <c r="B26" s="8"/>
      <c r="C26" s="181"/>
      <c r="D26" s="181"/>
      <c r="E26" s="181"/>
      <c r="F26" s="181"/>
      <c r="G26" s="532">
        <f>IF(ISERROR((C26*'Study Information &amp; rates'!$B$101+D26*'Study Information &amp; rates'!$C$101+E26*'Study Information &amp; rates'!$D$101+F26*'Study Information &amp; rates'!$F$101)),0,(C26*'Study Information &amp; rates'!$B$101+D26*'Study Information &amp; rates'!$C$101+E26*'Study Information &amp; rates'!$D$101+F26*'Study Information &amp; rates'!$F$101))</f>
        <v>0</v>
      </c>
      <c r="H26" s="8"/>
      <c r="I26" s="8"/>
      <c r="J26" s="8"/>
      <c r="K26" s="8"/>
      <c r="L26" s="8"/>
      <c r="M26" s="8"/>
      <c r="N26" s="319"/>
      <c r="O26" s="319"/>
      <c r="P26" s="319"/>
      <c r="Q26" s="319"/>
      <c r="R26" s="319"/>
      <c r="S26" s="319"/>
      <c r="T26" s="319"/>
      <c r="U26" s="319"/>
      <c r="V26" s="319"/>
      <c r="W26" s="319"/>
      <c r="X26" s="317"/>
      <c r="Y26" s="312"/>
      <c r="Z26" s="312"/>
      <c r="AA26" s="312"/>
      <c r="AB26" s="312"/>
      <c r="AC26" s="8"/>
      <c r="AD26" s="8"/>
      <c r="AE26" s="8"/>
      <c r="AF26" s="8"/>
      <c r="AG26" s="8"/>
      <c r="AH26" s="8"/>
      <c r="AI26" s="8"/>
      <c r="AJ26" s="8"/>
      <c r="AK26" s="8"/>
      <c r="AL26" s="8"/>
      <c r="AM26" s="8"/>
      <c r="AN26" s="8"/>
      <c r="AO26" s="8"/>
      <c r="AP26" s="8"/>
      <c r="AQ26" s="428"/>
      <c r="AR26" s="440">
        <f>(SUM(H26:AP26))*G26</f>
        <v>0</v>
      </c>
      <c r="AS26" s="440">
        <f>IF('Study Information &amp; rates'!$B$44="Yes",AR26*0.287,0)</f>
        <v>0</v>
      </c>
      <c r="AT26" s="440">
        <f>IF('Study Information &amp; rates'!$B$44="No",0,AR26*0.05)</f>
        <v>0</v>
      </c>
      <c r="AU26" s="440">
        <f>AR26+AS26+AT26</f>
        <v>0</v>
      </c>
      <c r="AV26" s="440">
        <f>'Set-up and other costs'!$B$18*'Per patient Arm 2'!AU26</f>
        <v>0</v>
      </c>
      <c r="BC26" s="2">
        <f>H26*G26</f>
        <v>0</v>
      </c>
      <c r="BD26" s="2">
        <f>IF('Study Information &amp; rates'!$B$44='Study Information &amp; rates'!$V$12,BC26*0.287,0)</f>
        <v>0</v>
      </c>
      <c r="BE26" s="2">
        <f>IF((Reconciliation!$C$15)&gt;5000,BC26*0.05,0)</f>
        <v>0</v>
      </c>
      <c r="BF26" s="2">
        <f>BC26+BD26+BE26</f>
        <v>0</v>
      </c>
      <c r="BG26" s="6" t="b">
        <f>IF($B26='Look Up'!$A$5,$H26)</f>
        <v>0</v>
      </c>
      <c r="BH26" s="6" t="b">
        <f>IF($B26='Look Up'!$A$6,$H26)</f>
        <v>0</v>
      </c>
      <c r="BI26" s="6" t="b">
        <f>IF($B26='Look Up'!$A$7,$H26)</f>
        <v>0</v>
      </c>
      <c r="BJ26" s="6" t="b">
        <f>IF($B26='Look Up'!$A$7,$H26)</f>
        <v>0</v>
      </c>
      <c r="BL26" s="6">
        <f>IF($B26='Look Up'!$A$6,$C26*$H26,0)+IF($B26='Look Up'!$A$7,$C26*$H26,0)</f>
        <v>0</v>
      </c>
      <c r="BM26" s="6">
        <f>IF($B26='Look Up'!$A$6,$D26*$H26,0)+IF($B26='Look Up'!$A$7,$D26*$H26,0)</f>
        <v>0</v>
      </c>
      <c r="BN26" s="6">
        <f>IF($B26='Look Up'!$A$6,$E26*$H26,0)+IF($B26='Look Up'!$A$7,$E26*$H26,0)</f>
        <v>0</v>
      </c>
      <c r="BO26" s="6">
        <f>IF($B26='Look Up'!$A$6,$F26*$H26,0)+IF($B26='Look Up'!$A$7,$F26*$H26,0)</f>
        <v>0</v>
      </c>
      <c r="BQ26" s="6">
        <f>$C26*'Study Information &amp; rates'!$B$101*IF('Study Information &amp; rates'!$B$44='Study Information &amp; rates'!$V$12,(SUM($H26:$AP26)*1.287),(SUM($H26:$AP26)))</f>
        <v>0</v>
      </c>
      <c r="BR26" s="6">
        <f>$D26*'Study Information &amp; rates'!$C$101*IF('Study Information &amp; rates'!$B$44='Study Information &amp; rates'!$V$12,(SUM($H26:$AP26)*1.287),(SUM($H26:$AP26)))</f>
        <v>0</v>
      </c>
      <c r="BS26" s="6">
        <f>$E26*'Study Information &amp; rates'!$D$101*IF('Study Information &amp; rates'!$B$44='Study Information &amp; rates'!$V$12,(SUM($H26:$AP26)*1.287),(SUM($H26:$AP26)))</f>
        <v>0</v>
      </c>
      <c r="BT26" s="6">
        <f>$F26*'Study Information &amp; rates'!$F$101*IF('Study Information &amp; rates'!$B$44='Study Information &amp; rates'!$V$12,(SUM($H26:$AP26)*1.287),(SUM($H26:$AP26)))</f>
        <v>0</v>
      </c>
    </row>
    <row r="27" spans="1:72">
      <c r="A27" s="320"/>
      <c r="B27" s="8"/>
      <c r="C27" s="181"/>
      <c r="D27" s="181"/>
      <c r="E27" s="181"/>
      <c r="F27" s="181"/>
      <c r="G27" s="532">
        <f>IF(ISERROR((C27*'Study Information &amp; rates'!$B$101+D27*'Study Information &amp; rates'!$C$101+E27*'Study Information &amp; rates'!$D$101+F27*'Study Information &amp; rates'!$F$101)),0,(C27*'Study Information &amp; rates'!$B$101+D27*'Study Information &amp; rates'!$C$101+E27*'Study Information &amp; rates'!$D$101+F27*'Study Information &amp; rates'!$F$101))</f>
        <v>0</v>
      </c>
      <c r="H27" s="8"/>
      <c r="I27" s="8"/>
      <c r="J27" s="8"/>
      <c r="K27" s="8"/>
      <c r="L27" s="8"/>
      <c r="M27" s="8"/>
      <c r="N27" s="319"/>
      <c r="O27" s="319"/>
      <c r="P27" s="319"/>
      <c r="Q27" s="319"/>
      <c r="R27" s="319"/>
      <c r="S27" s="319"/>
      <c r="T27" s="319"/>
      <c r="U27" s="319"/>
      <c r="V27" s="319"/>
      <c r="W27" s="319"/>
      <c r="X27" s="317"/>
      <c r="Y27" s="312"/>
      <c r="Z27" s="312"/>
      <c r="AA27" s="312"/>
      <c r="AB27" s="312"/>
      <c r="AC27" s="8"/>
      <c r="AD27" s="8"/>
      <c r="AE27" s="8"/>
      <c r="AF27" s="8"/>
      <c r="AG27" s="8"/>
      <c r="AH27" s="8"/>
      <c r="AI27" s="8"/>
      <c r="AJ27" s="8"/>
      <c r="AK27" s="8"/>
      <c r="AL27" s="8"/>
      <c r="AM27" s="8"/>
      <c r="AN27" s="8"/>
      <c r="AO27" s="8"/>
      <c r="AP27" s="8"/>
      <c r="AQ27" s="428"/>
      <c r="AR27" s="440">
        <f>(SUM(H27:AP27))*G27</f>
        <v>0</v>
      </c>
      <c r="AS27" s="440">
        <f>IF('Study Information &amp; rates'!$B$44="Yes",AR27*0.287,0)</f>
        <v>0</v>
      </c>
      <c r="AT27" s="440">
        <f>IF('Study Information &amp; rates'!$B$44="No",0,AR27*0.05)</f>
        <v>0</v>
      </c>
      <c r="AU27" s="440">
        <f>AR27+AS27+AT27</f>
        <v>0</v>
      </c>
      <c r="AV27" s="440">
        <f>'Set-up and other costs'!$B$18*'Per patient Arm 2'!AU27</f>
        <v>0</v>
      </c>
      <c r="BC27" s="2">
        <f>H27*G27</f>
        <v>0</v>
      </c>
      <c r="BD27" s="2">
        <f>IF('Study Information &amp; rates'!$B$44='Study Information &amp; rates'!$V$12,BC27*0.287,0)</f>
        <v>0</v>
      </c>
      <c r="BE27" s="2">
        <f>IF((Reconciliation!$C$15)&gt;5000,BC27*0.05,0)</f>
        <v>0</v>
      </c>
      <c r="BF27" s="2">
        <f>BC27+BD27+BE27</f>
        <v>0</v>
      </c>
      <c r="BG27" s="6" t="b">
        <f>IF($B27='Look Up'!$A$5,$H27)</f>
        <v>0</v>
      </c>
      <c r="BH27" s="6" t="b">
        <f>IF($B27='Look Up'!$A$6,$H27)</f>
        <v>0</v>
      </c>
      <c r="BI27" s="6" t="b">
        <f>IF($B27='Look Up'!$A$7,$H27)</f>
        <v>0</v>
      </c>
      <c r="BJ27" s="6" t="b">
        <f>IF($B27='Look Up'!$A$7,$H27)</f>
        <v>0</v>
      </c>
      <c r="BL27" s="6">
        <f>IF($B27='Look Up'!$A$6,$C27*$H27,0)+IF($B27='Look Up'!$A$7,$C27*$H27,0)</f>
        <v>0</v>
      </c>
      <c r="BM27" s="6">
        <f>IF($B27='Look Up'!$A$6,$D27*$H27,0)+IF($B27='Look Up'!$A$7,$D27*$H27,0)</f>
        <v>0</v>
      </c>
      <c r="BN27" s="6">
        <f>IF($B27='Look Up'!$A$6,$E27*$H27,0)+IF($B27='Look Up'!$A$7,$E27*$H27,0)</f>
        <v>0</v>
      </c>
      <c r="BO27" s="6">
        <f>IF($B27='Look Up'!$A$6,$F27*$H27,0)+IF($B27='Look Up'!$A$7,$F27*$H27,0)</f>
        <v>0</v>
      </c>
      <c r="BQ27" s="6">
        <f>$C27*'Study Information &amp; rates'!$B$101*IF('Study Information &amp; rates'!$B$44='Study Information &amp; rates'!$V$12,(SUM($H27:$AP27)*1.287),(SUM($H27:$AP27)))</f>
        <v>0</v>
      </c>
      <c r="BR27" s="6">
        <f>$D27*'Study Information &amp; rates'!$C$101*IF('Study Information &amp; rates'!$B$44='Study Information &amp; rates'!$V$12,(SUM($H27:$AP27)*1.287),(SUM($H27:$AP27)))</f>
        <v>0</v>
      </c>
      <c r="BS27" s="6">
        <f>$E27*'Study Information &amp; rates'!$D$101*IF('Study Information &amp; rates'!$B$44='Study Information &amp; rates'!$V$12,(SUM($H27:$AP27)*1.287),(SUM($H27:$AP27)))</f>
        <v>0</v>
      </c>
      <c r="BT27" s="6">
        <f>$F27*'Study Information &amp; rates'!$F$101*IF('Study Information &amp; rates'!$B$44='Study Information &amp; rates'!$V$12,(SUM($H27:$AP27)*1.287),(SUM($H27:$AP27)))</f>
        <v>0</v>
      </c>
    </row>
    <row r="28" spans="1:72">
      <c r="A28" s="320"/>
      <c r="B28" s="8"/>
      <c r="C28" s="181"/>
      <c r="D28" s="181"/>
      <c r="E28" s="181"/>
      <c r="F28" s="181"/>
      <c r="G28" s="532">
        <f>IF(ISERROR((C28*'Study Information &amp; rates'!$B$101+D28*'Study Information &amp; rates'!$C$101+E28*'Study Information &amp; rates'!$D$101+F28*'Study Information &amp; rates'!$F$101)),0,(C28*'Study Information &amp; rates'!$B$101+D28*'Study Information &amp; rates'!$C$101+E28*'Study Information &amp; rates'!$D$101+F28*'Study Information &amp; rates'!$F$101))</f>
        <v>0</v>
      </c>
      <c r="H28" s="8"/>
      <c r="I28" s="8"/>
      <c r="J28" s="8"/>
      <c r="K28" s="8"/>
      <c r="L28" s="8"/>
      <c r="M28" s="8"/>
      <c r="N28" s="319"/>
      <c r="O28" s="319"/>
      <c r="P28" s="319"/>
      <c r="Q28" s="319"/>
      <c r="R28" s="319"/>
      <c r="S28" s="319"/>
      <c r="T28" s="319"/>
      <c r="U28" s="319"/>
      <c r="V28" s="319"/>
      <c r="W28" s="319"/>
      <c r="X28" s="317"/>
      <c r="Y28" s="312"/>
      <c r="Z28" s="312"/>
      <c r="AA28" s="312"/>
      <c r="AB28" s="312"/>
      <c r="AC28" s="8"/>
      <c r="AD28" s="8"/>
      <c r="AE28" s="8"/>
      <c r="AF28" s="8"/>
      <c r="AG28" s="8"/>
      <c r="AH28" s="8"/>
      <c r="AI28" s="8"/>
      <c r="AJ28" s="8"/>
      <c r="AK28" s="8"/>
      <c r="AL28" s="8"/>
      <c r="AM28" s="8"/>
      <c r="AN28" s="8"/>
      <c r="AO28" s="8"/>
      <c r="AP28" s="8"/>
      <c r="AQ28" s="428"/>
      <c r="AR28" s="440">
        <f>(SUM(H28:AP28))*G28</f>
        <v>0</v>
      </c>
      <c r="AS28" s="440">
        <f>IF('Study Information &amp; rates'!$B$44="Yes",AR28*0.287,0)</f>
        <v>0</v>
      </c>
      <c r="AT28" s="440">
        <f>IF('Study Information &amp; rates'!$B$44="No",0,AR28*0.05)</f>
        <v>0</v>
      </c>
      <c r="AU28" s="440">
        <f>AR28+AS28+AT28</f>
        <v>0</v>
      </c>
      <c r="AV28" s="440">
        <f>'Set-up and other costs'!$B$18*'Per patient Arm 2'!AU28</f>
        <v>0</v>
      </c>
      <c r="BC28" s="2">
        <f>H28*G28</f>
        <v>0</v>
      </c>
      <c r="BD28" s="2">
        <f>IF('Study Information &amp; rates'!$B$44='Study Information &amp; rates'!$V$12,BC28*0.287,0)</f>
        <v>0</v>
      </c>
      <c r="BE28" s="2">
        <f>IF((Reconciliation!$C$15)&gt;5000,BC28*0.05,0)</f>
        <v>0</v>
      </c>
      <c r="BF28" s="2">
        <f>BC28+BD28+BE28</f>
        <v>0</v>
      </c>
      <c r="BG28" s="6" t="b">
        <f>IF($B28='Look Up'!$A$5,$H28)</f>
        <v>0</v>
      </c>
      <c r="BH28" s="6" t="b">
        <f>IF($B28='Look Up'!$A$6,$H28)</f>
        <v>0</v>
      </c>
      <c r="BI28" s="6" t="b">
        <f>IF($B28='Look Up'!$A$7,$H28)</f>
        <v>0</v>
      </c>
      <c r="BJ28" s="6" t="b">
        <f>IF($B28='Look Up'!$A$7,$H28)</f>
        <v>0</v>
      </c>
      <c r="BL28" s="6">
        <f>IF($B28='Look Up'!$A$6,$C28*$H28,0)+IF($B28='Look Up'!$A$7,$C28*$H28,0)</f>
        <v>0</v>
      </c>
      <c r="BM28" s="6">
        <f>IF($B28='Look Up'!$A$6,$D28*$H28,0)+IF($B28='Look Up'!$A$7,$D28*$H28,0)</f>
        <v>0</v>
      </c>
      <c r="BN28" s="6">
        <f>IF($B28='Look Up'!$A$6,$E28*$H28,0)+IF($B28='Look Up'!$A$7,$E28*$H28,0)</f>
        <v>0</v>
      </c>
      <c r="BO28" s="6">
        <f>IF($B28='Look Up'!$A$6,$F28*$H28,0)+IF($B28='Look Up'!$A$7,$F28*$H28,0)</f>
        <v>0</v>
      </c>
      <c r="BQ28" s="6">
        <f>$C28*'Study Information &amp; rates'!$B$101*IF('Study Information &amp; rates'!$B$44='Study Information &amp; rates'!$V$12,(SUM($H28:$AP28)*1.287),(SUM($H28:$AP28)))</f>
        <v>0</v>
      </c>
      <c r="BR28" s="6">
        <f>$D28*'Study Information &amp; rates'!$C$101*IF('Study Information &amp; rates'!$B$44='Study Information &amp; rates'!$V$12,(SUM($H28:$AP28)*1.287),(SUM($H28:$AP28)))</f>
        <v>0</v>
      </c>
      <c r="BS28" s="6">
        <f>$E28*'Study Information &amp; rates'!$D$101*IF('Study Information &amp; rates'!$B$44='Study Information &amp; rates'!$V$12,(SUM($H28:$AP28)*1.287),(SUM($H28:$AP28)))</f>
        <v>0</v>
      </c>
      <c r="BT28" s="6">
        <f>$F28*'Study Information &amp; rates'!$F$101*IF('Study Information &amp; rates'!$B$44='Study Information &amp; rates'!$V$12,(SUM($H28:$AP28)*1.287),(SUM($H28:$AP28)))</f>
        <v>0</v>
      </c>
    </row>
    <row r="29" spans="1:72">
      <c r="A29" s="320"/>
      <c r="B29" s="8"/>
      <c r="C29" s="181"/>
      <c r="D29" s="181"/>
      <c r="E29" s="181"/>
      <c r="F29" s="181"/>
      <c r="G29" s="532">
        <f>IF(ISERROR((C29*'Study Information &amp; rates'!$B$101+D29*'Study Information &amp; rates'!$C$101+E29*'Study Information &amp; rates'!$D$101+F29*'Study Information &amp; rates'!$F$101)),0,(C29*'Study Information &amp; rates'!$B$101+D29*'Study Information &amp; rates'!$C$101+E29*'Study Information &amp; rates'!$D$101+F29*'Study Information &amp; rates'!$F$101))</f>
        <v>0</v>
      </c>
      <c r="H29" s="302"/>
      <c r="I29" s="302"/>
      <c r="J29" s="302"/>
      <c r="K29" s="302"/>
      <c r="L29" s="302"/>
      <c r="M29" s="302"/>
      <c r="N29" s="319"/>
      <c r="O29" s="319"/>
      <c r="P29" s="319"/>
      <c r="Q29" s="319"/>
      <c r="R29" s="319"/>
      <c r="S29" s="319"/>
      <c r="T29" s="319"/>
      <c r="U29" s="319"/>
      <c r="V29" s="319"/>
      <c r="W29" s="319"/>
      <c r="X29" s="315"/>
      <c r="Y29" s="8"/>
      <c r="Z29" s="8"/>
      <c r="AA29" s="8"/>
      <c r="AB29" s="8"/>
      <c r="AC29" s="8"/>
      <c r="AD29" s="8"/>
      <c r="AE29" s="8"/>
      <c r="AF29" s="8"/>
      <c r="AG29" s="8"/>
      <c r="AH29" s="8"/>
      <c r="AI29" s="8"/>
      <c r="AJ29" s="8"/>
      <c r="AK29" s="8"/>
      <c r="AL29" s="8"/>
      <c r="AM29" s="8"/>
      <c r="AN29" s="8"/>
      <c r="AO29" s="8"/>
      <c r="AP29" s="8"/>
      <c r="AQ29" s="428"/>
      <c r="AR29" s="440">
        <f>(SUM(H29:AP29))*G29</f>
        <v>0</v>
      </c>
      <c r="AS29" s="440">
        <f>IF('Study Information &amp; rates'!$B$44="Yes",AR29*0.287,0)</f>
        <v>0</v>
      </c>
      <c r="AT29" s="440">
        <f>IF('Study Information &amp; rates'!$B$44="No",0,AR29*0.05)</f>
        <v>0</v>
      </c>
      <c r="AU29" s="440">
        <f>AR29+AS29+AT29</f>
        <v>0</v>
      </c>
      <c r="AV29" s="440">
        <f>'Set-up and other costs'!$B$18*'Per patient Arm 2'!AU29</f>
        <v>0</v>
      </c>
      <c r="BC29" s="2">
        <f>H29*G29</f>
        <v>0</v>
      </c>
      <c r="BD29" s="2">
        <f>IF('Study Information &amp; rates'!$B$44='Study Information &amp; rates'!$V$12,BC29*0.287,0)</f>
        <v>0</v>
      </c>
      <c r="BE29" s="2">
        <f>IF((Reconciliation!$C$15)&gt;5000,BC29*0.05,0)</f>
        <v>0</v>
      </c>
      <c r="BF29" s="2">
        <f>BC29+BD29+BE29</f>
        <v>0</v>
      </c>
      <c r="BG29" s="6" t="b">
        <f>IF($B29='Look Up'!$A$5,$H29)</f>
        <v>0</v>
      </c>
      <c r="BH29" s="6" t="b">
        <f>IF($B29='Look Up'!$A$6,$H29)</f>
        <v>0</v>
      </c>
      <c r="BI29" s="6" t="b">
        <f>IF($B29='Look Up'!$A$7,$H29)</f>
        <v>0</v>
      </c>
      <c r="BJ29" s="6" t="b">
        <f>IF($B29='Look Up'!$A$7,$H29)</f>
        <v>0</v>
      </c>
      <c r="BL29" s="6">
        <f>IF($B29='Look Up'!$A$6,$C29*$H29,0)+IF($B29='Look Up'!$A$7,$C29*$H29,0)</f>
        <v>0</v>
      </c>
      <c r="BM29" s="6">
        <f>IF($B29='Look Up'!$A$6,$D29*$H29,0)+IF($B29='Look Up'!$A$7,$D29*$H29,0)</f>
        <v>0</v>
      </c>
      <c r="BN29" s="6">
        <f>IF($B29='Look Up'!$A$6,$E29*$H29,0)+IF($B29='Look Up'!$A$7,$E29*$H29,0)</f>
        <v>0</v>
      </c>
      <c r="BO29" s="6">
        <f>IF($B29='Look Up'!$A$6,$F29*$H29,0)+IF($B29='Look Up'!$A$7,$F29*$H29,0)</f>
        <v>0</v>
      </c>
      <c r="BQ29" s="6">
        <f>$C29*'Study Information &amp; rates'!$B$101*IF('Study Information &amp; rates'!$B$44='Study Information &amp; rates'!$V$12,(SUM($H29:$AP29)*1.287),(SUM($H29:$AP29)))</f>
        <v>0</v>
      </c>
      <c r="BR29" s="6">
        <f>$D29*'Study Information &amp; rates'!$C$101*IF('Study Information &amp; rates'!$B$44='Study Information &amp; rates'!$V$12,(SUM($H29:$AP29)*1.287),(SUM($H29:$AP29)))</f>
        <v>0</v>
      </c>
      <c r="BS29" s="6">
        <f>$E29*'Study Information &amp; rates'!$D$101*IF('Study Information &amp; rates'!$B$44='Study Information &amp; rates'!$V$12,(SUM($H29:$AP29)*1.287),(SUM($H29:$AP29)))</f>
        <v>0</v>
      </c>
      <c r="BT29" s="6">
        <f>$F29*'Study Information &amp; rates'!$F$101*IF('Study Information &amp; rates'!$B$44='Study Information &amp; rates'!$V$12,(SUM($H29:$AP29)*1.287),(SUM($H29:$AP29)))</f>
        <v>0</v>
      </c>
    </row>
    <row r="30" spans="1:72">
      <c r="A30" s="8"/>
      <c r="B30" s="8"/>
      <c r="C30" s="181"/>
      <c r="D30" s="181"/>
      <c r="E30" s="181"/>
      <c r="F30" s="181"/>
      <c r="G30" s="532">
        <f>IF(ISERROR((C30*'Study Information &amp; rates'!$B$101+D30*'Study Information &amp; rates'!$C$101+E30*'Study Information &amp; rates'!$D$101+F30*'Study Information &amp; rates'!$F$101)),0,(C30*'Study Information &amp; rates'!$B$101+D30*'Study Information &amp; rates'!$C$101+E30*'Study Information &amp; rates'!$D$101+F30*'Study Information &amp; rates'!$F$101))</f>
        <v>0</v>
      </c>
      <c r="H30" s="8"/>
      <c r="I30" s="8"/>
      <c r="J30" s="8"/>
      <c r="K30" s="8"/>
      <c r="L30" s="8"/>
      <c r="M30" s="319"/>
      <c r="N30" s="319"/>
      <c r="O30" s="319"/>
      <c r="P30" s="319"/>
      <c r="Q30" s="319"/>
      <c r="R30" s="319"/>
      <c r="S30" s="319"/>
      <c r="T30" s="319"/>
      <c r="U30" s="319"/>
      <c r="V30" s="319"/>
      <c r="W30" s="319"/>
      <c r="X30" s="315"/>
      <c r="Y30" s="8"/>
      <c r="Z30" s="8"/>
      <c r="AA30" s="8"/>
      <c r="AB30" s="8"/>
      <c r="AC30" s="8"/>
      <c r="AD30" s="8"/>
      <c r="AE30" s="8"/>
      <c r="AF30" s="8"/>
      <c r="AG30" s="8"/>
      <c r="AH30" s="8"/>
      <c r="AI30" s="8"/>
      <c r="AJ30" s="8"/>
      <c r="AK30" s="8"/>
      <c r="AL30" s="8"/>
      <c r="AM30" s="8"/>
      <c r="AN30" s="8"/>
      <c r="AO30" s="8"/>
      <c r="AP30" s="8"/>
      <c r="AQ30" s="428"/>
      <c r="AR30" s="440">
        <f>(SUM(H30:AP30))*G30</f>
        <v>0</v>
      </c>
      <c r="AS30" s="440">
        <f>IF('Study Information &amp; rates'!$B$44="Yes",AR30*0.287,0)</f>
        <v>0</v>
      </c>
      <c r="AT30" s="440">
        <f>IF('Study Information &amp; rates'!$B$44="No",0,AR30*0.05)</f>
        <v>0</v>
      </c>
      <c r="AU30" s="440">
        <f>AR30+AS30+AT30</f>
        <v>0</v>
      </c>
      <c r="AV30" s="440">
        <f>'Set-up and other costs'!$B$18*'Per patient Arm 2'!AU30</f>
        <v>0</v>
      </c>
      <c r="BC30" s="2">
        <f>H30*G30</f>
        <v>0</v>
      </c>
      <c r="BD30" s="2">
        <f>IF('Study Information &amp; rates'!$B$44='Study Information &amp; rates'!$V$12,BC30*0.287,0)</f>
        <v>0</v>
      </c>
      <c r="BE30" s="2">
        <f>IF((Reconciliation!$C$15)&gt;5000,BC30*0.05,0)</f>
        <v>0</v>
      </c>
      <c r="BF30" s="2">
        <f>BC30+BD30+BE30</f>
        <v>0</v>
      </c>
      <c r="BG30" s="6" t="b">
        <f>IF($B30='Look Up'!$A$5,$H30)</f>
        <v>0</v>
      </c>
      <c r="BH30" s="6" t="b">
        <f>IF($B30='Look Up'!$A$6,$H30)</f>
        <v>0</v>
      </c>
      <c r="BI30" s="6" t="b">
        <f>IF($B30='Look Up'!$A$7,$H30)</f>
        <v>0</v>
      </c>
      <c r="BJ30" s="6" t="b">
        <f>IF($B30='Look Up'!$A$7,$H30)</f>
        <v>0</v>
      </c>
      <c r="BL30" s="6">
        <f>IF($B30='Look Up'!$A$6,$C30*$H30,0)+IF($B30='Look Up'!$A$7,$C30*$H30,0)</f>
        <v>0</v>
      </c>
      <c r="BM30" s="6">
        <f>IF($B30='Look Up'!$A$6,$D30*$H30,0)+IF($B30='Look Up'!$A$7,$D30*$H30,0)</f>
        <v>0</v>
      </c>
      <c r="BN30" s="6">
        <f>IF($B30='Look Up'!$A$6,$E30*$H30,0)+IF($B30='Look Up'!$A$7,$E30*$H30,0)</f>
        <v>0</v>
      </c>
      <c r="BO30" s="6">
        <f>IF($B30='Look Up'!$A$6,$F30*$H30,0)+IF($B30='Look Up'!$A$7,$F30*$H30,0)</f>
        <v>0</v>
      </c>
      <c r="BQ30" s="6">
        <f>$C30*'Study Information &amp; rates'!$B$101*IF('Study Information &amp; rates'!$B$44='Study Information &amp; rates'!$V$12,(SUM($H30:$AP30)*1.287),(SUM($H30:$AP30)))</f>
        <v>0</v>
      </c>
      <c r="BR30" s="6">
        <f>$D30*'Study Information &amp; rates'!$C$101*IF('Study Information &amp; rates'!$B$44='Study Information &amp; rates'!$V$12,(SUM($H30:$AP30)*1.287),(SUM($H30:$AP30)))</f>
        <v>0</v>
      </c>
      <c r="BS30" s="6">
        <f>$E30*'Study Information &amp; rates'!$D$101*IF('Study Information &amp; rates'!$B$44='Study Information &amp; rates'!$V$12,(SUM($H30:$AP30)*1.287),(SUM($H30:$AP30)))</f>
        <v>0</v>
      </c>
      <c r="BT30" s="6">
        <f>$F30*'Study Information &amp; rates'!$F$101*IF('Study Information &amp; rates'!$B$44='Study Information &amp; rates'!$V$12,(SUM($H30:$AP30)*1.287),(SUM($H30:$AP30)))</f>
        <v>0</v>
      </c>
    </row>
    <row r="31" spans="1:72">
      <c r="A31" s="8"/>
      <c r="B31" s="8"/>
      <c r="C31" s="181"/>
      <c r="D31" s="181"/>
      <c r="E31" s="181"/>
      <c r="F31" s="181"/>
      <c r="G31" s="532">
        <f>IF(ISERROR((C31*'Study Information &amp; rates'!$B$101+D31*'Study Information &amp; rates'!$C$101+E31*'Study Information &amp; rates'!$D$101+F31*'Study Information &amp; rates'!$F$101)),0,(C31*'Study Information &amp; rates'!$B$101+D31*'Study Information &amp; rates'!$C$101+E31*'Study Information &amp; rates'!$D$101+F31*'Study Information &amp; rates'!$F$101))</f>
        <v>0</v>
      </c>
      <c r="H31" s="8"/>
      <c r="I31" s="8"/>
      <c r="J31" s="8"/>
      <c r="K31" s="8"/>
      <c r="L31" s="8"/>
      <c r="M31" s="319"/>
      <c r="N31" s="319"/>
      <c r="O31" s="319"/>
      <c r="P31" s="319"/>
      <c r="Q31" s="319"/>
      <c r="R31" s="319"/>
      <c r="S31" s="319"/>
      <c r="T31" s="319"/>
      <c r="U31" s="319"/>
      <c r="V31" s="319"/>
      <c r="W31" s="319"/>
      <c r="X31" s="315"/>
      <c r="Y31" s="8"/>
      <c r="Z31" s="8"/>
      <c r="AA31" s="8"/>
      <c r="AB31" s="8"/>
      <c r="AC31" s="8"/>
      <c r="AD31" s="8"/>
      <c r="AE31" s="8"/>
      <c r="AF31" s="8"/>
      <c r="AG31" s="8"/>
      <c r="AH31" s="8"/>
      <c r="AI31" s="8"/>
      <c r="AJ31" s="8"/>
      <c r="AK31" s="8"/>
      <c r="AL31" s="8"/>
      <c r="AM31" s="8"/>
      <c r="AN31" s="8"/>
      <c r="AO31" s="8"/>
      <c r="AP31" s="8"/>
      <c r="AQ31" s="428"/>
      <c r="AR31" s="440">
        <f>(SUM(H31:AP31))*G31</f>
        <v>0</v>
      </c>
      <c r="AS31" s="440">
        <f>IF('Study Information &amp; rates'!$B$44="Yes",AR31*0.287,0)</f>
        <v>0</v>
      </c>
      <c r="AT31" s="440">
        <f>IF('Study Information &amp; rates'!$B$44="No",0,AR31*0.05)</f>
        <v>0</v>
      </c>
      <c r="AU31" s="440">
        <f>AR31+AS31+AT31</f>
        <v>0</v>
      </c>
      <c r="AV31" s="440">
        <f>'Set-up and other costs'!$B$18*'Per patient Arm 2'!AU31</f>
        <v>0</v>
      </c>
      <c r="BC31" s="2">
        <f>H31*G31</f>
        <v>0</v>
      </c>
      <c r="BD31" s="2">
        <f>IF('Study Information &amp; rates'!$B$44='Study Information &amp; rates'!$V$12,BC31*0.287,0)</f>
        <v>0</v>
      </c>
      <c r="BE31" s="2">
        <f>IF((Reconciliation!$C$15)&gt;5000,BC31*0.05,0)</f>
        <v>0</v>
      </c>
      <c r="BF31" s="2">
        <f>BC31+BD31+BE31</f>
        <v>0</v>
      </c>
      <c r="BG31" s="6" t="b">
        <f>IF($B31='Look Up'!$A$5,$H31)</f>
        <v>0</v>
      </c>
      <c r="BH31" s="6" t="b">
        <f>IF($B31='Look Up'!$A$6,$H31)</f>
        <v>0</v>
      </c>
      <c r="BI31" s="6" t="b">
        <f>IF($B31='Look Up'!$A$7,$H31)</f>
        <v>0</v>
      </c>
      <c r="BJ31" s="6" t="b">
        <f>IF($B31='Look Up'!$A$7,$H31)</f>
        <v>0</v>
      </c>
      <c r="BL31" s="6">
        <f>IF($B31='Look Up'!$A$6,$C31*$H31,0)+IF($B31='Look Up'!$A$7,$C31*$H31,0)</f>
        <v>0</v>
      </c>
      <c r="BM31" s="6">
        <f>IF($B31='Look Up'!$A$6,$D31*$H31,0)+IF($B31='Look Up'!$A$7,$D31*$H31,0)</f>
        <v>0</v>
      </c>
      <c r="BN31" s="6">
        <f>IF($B31='Look Up'!$A$6,$E31*$H31,0)+IF($B31='Look Up'!$A$7,$E31*$H31,0)</f>
        <v>0</v>
      </c>
      <c r="BO31" s="6">
        <f>IF($B31='Look Up'!$A$6,$F31*$H31,0)+IF($B31='Look Up'!$A$7,$F31*$H31,0)</f>
        <v>0</v>
      </c>
      <c r="BQ31" s="6">
        <f>$C31*'Study Information &amp; rates'!$B$101*IF('Study Information &amp; rates'!$B$44='Study Information &amp; rates'!$V$12,(SUM($H31:$AP31)*1.287),(SUM($H31:$AP31)))</f>
        <v>0</v>
      </c>
      <c r="BR31" s="6">
        <f>$D31*'Study Information &amp; rates'!$C$101*IF('Study Information &amp; rates'!$B$44='Study Information &amp; rates'!$V$12,(SUM($H31:$AP31)*1.287),(SUM($H31:$AP31)))</f>
        <v>0</v>
      </c>
      <c r="BS31" s="6">
        <f>$E31*'Study Information &amp; rates'!$D$101*IF('Study Information &amp; rates'!$B$44='Study Information &amp; rates'!$V$12,(SUM($H31:$AP31)*1.287),(SUM($H31:$AP31)))</f>
        <v>0</v>
      </c>
      <c r="BT31" s="6">
        <f>$F31*'Study Information &amp; rates'!$F$101*IF('Study Information &amp; rates'!$B$44='Study Information &amp; rates'!$V$12,(SUM($H31:$AP31)*1.287),(SUM($H31:$AP31)))</f>
        <v>0</v>
      </c>
    </row>
    <row r="32" spans="1:72">
      <c r="A32" s="8"/>
      <c r="B32" s="8"/>
      <c r="C32" s="311"/>
      <c r="D32" s="181"/>
      <c r="E32" s="311"/>
      <c r="F32" s="311"/>
      <c r="G32" s="532">
        <f>IF(ISERROR((C32*'Study Information &amp; rates'!$B$101+D32*'Study Information &amp; rates'!$C$101+E32*'Study Information &amp; rates'!$D$101+F32*'Study Information &amp; rates'!$F$101)),0,(C32*'Study Information &amp; rates'!$B$101+D32*'Study Information &amp; rates'!$C$101+E32*'Study Information &amp; rates'!$D$101+F32*'Study Information &amp; rates'!$F$101))</f>
        <v>0</v>
      </c>
      <c r="H32" s="319"/>
      <c r="I32" s="319"/>
      <c r="J32" s="319"/>
      <c r="K32" s="319"/>
      <c r="L32" s="319"/>
      <c r="M32" s="319"/>
      <c r="N32" s="319"/>
      <c r="O32" s="319"/>
      <c r="P32" s="319"/>
      <c r="Q32" s="319"/>
      <c r="R32" s="319"/>
      <c r="S32" s="319"/>
      <c r="T32" s="319"/>
      <c r="U32" s="319"/>
      <c r="V32" s="319"/>
      <c r="W32" s="319"/>
      <c r="X32" s="315"/>
      <c r="Y32" s="8"/>
      <c r="Z32" s="8"/>
      <c r="AA32" s="8"/>
      <c r="AB32" s="8"/>
      <c r="AC32" s="8"/>
      <c r="AD32" s="8"/>
      <c r="AE32" s="8"/>
      <c r="AF32" s="8"/>
      <c r="AG32" s="8"/>
      <c r="AH32" s="8"/>
      <c r="AI32" s="8"/>
      <c r="AJ32" s="8"/>
      <c r="AK32" s="8"/>
      <c r="AL32" s="8"/>
      <c r="AM32" s="8"/>
      <c r="AN32" s="8"/>
      <c r="AO32" s="8"/>
      <c r="AP32" s="8"/>
      <c r="AQ32" s="428"/>
      <c r="AR32" s="440">
        <f>(SUM(H32:AP32))*G32</f>
        <v>0</v>
      </c>
      <c r="AS32" s="440">
        <f>IF('Study Information &amp; rates'!$B$44="Yes",AR32*0.287,0)</f>
        <v>0</v>
      </c>
      <c r="AT32" s="440">
        <f>IF('Study Information &amp; rates'!$B$44="No",0,AR32*0.05)</f>
        <v>0</v>
      </c>
      <c r="AU32" s="440">
        <f>AR32+AS32+AT32</f>
        <v>0</v>
      </c>
      <c r="AV32" s="440">
        <f>'Set-up and other costs'!$B$18*'Per patient Arm 2'!AU32</f>
        <v>0</v>
      </c>
      <c r="BC32" s="2">
        <f>H32*G32</f>
        <v>0</v>
      </c>
      <c r="BD32" s="2">
        <f>IF('Study Information &amp; rates'!$B$44='Study Information &amp; rates'!$V$12,BC32*0.287,0)</f>
        <v>0</v>
      </c>
      <c r="BE32" s="2">
        <f>IF((Reconciliation!$C$15)&gt;5000,BC32*0.05,0)</f>
        <v>0</v>
      </c>
      <c r="BF32" s="2">
        <f>BC32+BD32+BE32</f>
        <v>0</v>
      </c>
      <c r="BG32" s="6" t="b">
        <f>IF($B32='Look Up'!$A$5,$H32)</f>
        <v>0</v>
      </c>
      <c r="BH32" s="6" t="b">
        <f>IF($B32='Look Up'!$A$6,$H32)</f>
        <v>0</v>
      </c>
      <c r="BI32" s="6" t="b">
        <f>IF($B32='Look Up'!$A$7,$H32)</f>
        <v>0</v>
      </c>
      <c r="BJ32" s="6" t="b">
        <f>IF($B32='Look Up'!$A$7,$H32)</f>
        <v>0</v>
      </c>
      <c r="BL32" s="6">
        <f>IF($B32='Look Up'!$A$6,$C32*$H32,0)+IF($B32='Look Up'!$A$7,$C32*$H32,0)</f>
        <v>0</v>
      </c>
      <c r="BM32" s="6">
        <f>IF($B32='Look Up'!$A$6,$D32*$H32,0)+IF($B32='Look Up'!$A$7,$D32*$H32,0)</f>
        <v>0</v>
      </c>
      <c r="BN32" s="6">
        <f>IF($B32='Look Up'!$A$6,$E32*$H32,0)+IF($B32='Look Up'!$A$7,$E32*$H32,0)</f>
        <v>0</v>
      </c>
      <c r="BO32" s="6">
        <f>IF($B32='Look Up'!$A$6,$F32*$H32,0)+IF($B32='Look Up'!$A$7,$F32*$H32,0)</f>
        <v>0</v>
      </c>
      <c r="BQ32" s="6">
        <f>$C32*'Study Information &amp; rates'!$B$101*IF('Study Information &amp; rates'!$B$44='Study Information &amp; rates'!$V$12,(SUM($H32:$AP32)*1.287),(SUM($H32:$AP32)))</f>
        <v>0</v>
      </c>
      <c r="BR32" s="6">
        <f>$D32*'Study Information &amp; rates'!$C$101*IF('Study Information &amp; rates'!$B$44='Study Information &amp; rates'!$V$12,(SUM($H32:$AP32)*1.287),(SUM($H32:$AP32)))</f>
        <v>0</v>
      </c>
      <c r="BS32" s="6">
        <f>$E32*'Study Information &amp; rates'!$D$101*IF('Study Information &amp; rates'!$B$44='Study Information &amp; rates'!$V$12,(SUM($H32:$AP32)*1.287),(SUM($H32:$AP32)))</f>
        <v>0</v>
      </c>
      <c r="BT32" s="6">
        <f>$F32*'Study Information &amp; rates'!$F$101*IF('Study Information &amp; rates'!$B$44='Study Information &amp; rates'!$V$12,(SUM($H32:$AP32)*1.287),(SUM($H32:$AP32)))</f>
        <v>0</v>
      </c>
    </row>
    <row r="33" spans="1:72">
      <c r="A33" s="8"/>
      <c r="B33" s="8"/>
      <c r="C33" s="311"/>
      <c r="D33" s="181"/>
      <c r="E33" s="311"/>
      <c r="F33" s="181"/>
      <c r="G33" s="532">
        <f>IF(ISERROR((C33*'Study Information &amp; rates'!$B$101+D33*'Study Information &amp; rates'!$C$101+E33*'Study Information &amp; rates'!$D$101+F33*'Study Information &amp; rates'!$F$101)),0,(C33*'Study Information &amp; rates'!$B$101+D33*'Study Information &amp; rates'!$C$101+E33*'Study Information &amp; rates'!$D$101+F33*'Study Information &amp; rates'!$F$101))</f>
        <v>0</v>
      </c>
      <c r="H33" s="319"/>
      <c r="I33" s="319"/>
      <c r="J33" s="319"/>
      <c r="K33" s="319"/>
      <c r="L33" s="319"/>
      <c r="M33" s="319"/>
      <c r="N33" s="319"/>
      <c r="O33" s="319"/>
      <c r="P33" s="319"/>
      <c r="Q33" s="319"/>
      <c r="R33" s="319"/>
      <c r="S33" s="319"/>
      <c r="T33" s="319"/>
      <c r="U33" s="319"/>
      <c r="V33" s="319"/>
      <c r="W33" s="319"/>
      <c r="X33" s="315"/>
      <c r="Y33" s="8"/>
      <c r="Z33" s="8"/>
      <c r="AA33" s="8"/>
      <c r="AB33" s="8"/>
      <c r="AC33" s="8"/>
      <c r="AD33" s="8"/>
      <c r="AE33" s="8"/>
      <c r="AF33" s="8"/>
      <c r="AG33" s="8"/>
      <c r="AH33" s="8"/>
      <c r="AI33" s="8"/>
      <c r="AJ33" s="8"/>
      <c r="AK33" s="8"/>
      <c r="AL33" s="8"/>
      <c r="AM33" s="8"/>
      <c r="AN33" s="8"/>
      <c r="AO33" s="8"/>
      <c r="AP33" s="8"/>
      <c r="AQ33" s="428"/>
      <c r="AR33" s="440">
        <f>(SUM(H33:AP33))*G33</f>
        <v>0</v>
      </c>
      <c r="AS33" s="440">
        <f>IF('Study Information &amp; rates'!$B$44="Yes",AR33*0.287,0)</f>
        <v>0</v>
      </c>
      <c r="AT33" s="440">
        <f>IF('Study Information &amp; rates'!$B$44="No",0,AR33*0.05)</f>
        <v>0</v>
      </c>
      <c r="AU33" s="440">
        <f>AR33+AS33+AT33</f>
        <v>0</v>
      </c>
      <c r="AV33" s="440">
        <f>'Set-up and other costs'!$B$18*'Per patient Arm 2'!AU33</f>
        <v>0</v>
      </c>
      <c r="BC33" s="2">
        <f>H33*G33</f>
        <v>0</v>
      </c>
      <c r="BD33" s="2">
        <f>IF('Study Information &amp; rates'!$B$44='Study Information &amp; rates'!$V$12,BC33*0.287,0)</f>
        <v>0</v>
      </c>
      <c r="BE33" s="2">
        <f>IF((Reconciliation!$C$15)&gt;5000,BC33*0.05,0)</f>
        <v>0</v>
      </c>
      <c r="BF33" s="2">
        <f>BC33+BD33+BE33</f>
        <v>0</v>
      </c>
      <c r="BG33" s="6" t="b">
        <f>IF($B33='Look Up'!$A$5,$H33)</f>
        <v>0</v>
      </c>
      <c r="BH33" s="6" t="b">
        <f>IF($B33='Look Up'!$A$6,$H33)</f>
        <v>0</v>
      </c>
      <c r="BI33" s="6" t="b">
        <f>IF($B33='Look Up'!$A$7,$H33)</f>
        <v>0</v>
      </c>
      <c r="BJ33" s="6" t="b">
        <f>IF($B33='Look Up'!$A$7,$H33)</f>
        <v>0</v>
      </c>
      <c r="BL33" s="6">
        <f>IF($B33='Look Up'!$A$6,$C33*$H33,0)+IF($B33='Look Up'!$A$7,$C33*$H33,0)</f>
        <v>0</v>
      </c>
      <c r="BM33" s="6">
        <f>IF($B33='Look Up'!$A$6,$D33*$H33,0)+IF($B33='Look Up'!$A$7,$D33*$H33,0)</f>
        <v>0</v>
      </c>
      <c r="BN33" s="6">
        <f>IF($B33='Look Up'!$A$6,$E33*$H33,0)+IF($B33='Look Up'!$A$7,$E33*$H33,0)</f>
        <v>0</v>
      </c>
      <c r="BO33" s="6">
        <f>IF($B33='Look Up'!$A$6,$F33*$H33,0)+IF($B33='Look Up'!$A$7,$F33*$H33,0)</f>
        <v>0</v>
      </c>
      <c r="BQ33" s="6">
        <f>$C33*'Study Information &amp; rates'!$B$101*IF('Study Information &amp; rates'!$B$44='Study Information &amp; rates'!$V$12,(SUM($H33:$AP33)*1.287),(SUM($H33:$AP33)))</f>
        <v>0</v>
      </c>
      <c r="BR33" s="6">
        <f>$D33*'Study Information &amp; rates'!$C$101*IF('Study Information &amp; rates'!$B$44='Study Information &amp; rates'!$V$12,(SUM($H33:$AP33)*1.287),(SUM($H33:$AP33)))</f>
        <v>0</v>
      </c>
      <c r="BS33" s="6">
        <f>$E33*'Study Information &amp; rates'!$D$101*IF('Study Information &amp; rates'!$B$44='Study Information &amp; rates'!$V$12,(SUM($H33:$AP33)*1.287),(SUM($H33:$AP33)))</f>
        <v>0</v>
      </c>
      <c r="BT33" s="6">
        <f>$F33*'Study Information &amp; rates'!$F$101*IF('Study Information &amp; rates'!$B$44='Study Information &amp; rates'!$V$12,(SUM($H33:$AP33)*1.287),(SUM($H33:$AP33)))</f>
        <v>0</v>
      </c>
    </row>
    <row r="34" spans="1:72">
      <c r="A34" s="8"/>
      <c r="B34" s="8"/>
      <c r="C34" s="311"/>
      <c r="D34" s="181"/>
      <c r="E34" s="311"/>
      <c r="F34" s="181"/>
      <c r="G34" s="532">
        <f>IF(ISERROR((C34*'Study Information &amp; rates'!$B$101+D34*'Study Information &amp; rates'!$C$101+E34*'Study Information &amp; rates'!$D$101+F34*'Study Information &amp; rates'!$F$101)),0,(C34*'Study Information &amp; rates'!$B$101+D34*'Study Information &amp; rates'!$C$101+E34*'Study Information &amp; rates'!$D$101+F34*'Study Information &amp; rates'!$F$101))</f>
        <v>0</v>
      </c>
      <c r="H34" s="319"/>
      <c r="I34" s="319"/>
      <c r="J34" s="319"/>
      <c r="K34" s="319"/>
      <c r="L34" s="319"/>
      <c r="M34" s="319"/>
      <c r="N34" s="319"/>
      <c r="O34" s="319"/>
      <c r="P34" s="319"/>
      <c r="Q34" s="319"/>
      <c r="R34" s="319"/>
      <c r="S34" s="319"/>
      <c r="T34" s="319"/>
      <c r="U34" s="319"/>
      <c r="V34" s="319"/>
      <c r="W34" s="319"/>
      <c r="X34" s="315"/>
      <c r="Y34" s="8"/>
      <c r="Z34" s="8"/>
      <c r="AA34" s="8"/>
      <c r="AB34" s="8"/>
      <c r="AC34" s="8"/>
      <c r="AD34" s="8"/>
      <c r="AE34" s="8"/>
      <c r="AF34" s="8"/>
      <c r="AG34" s="8"/>
      <c r="AH34" s="8"/>
      <c r="AI34" s="8"/>
      <c r="AJ34" s="8"/>
      <c r="AK34" s="8"/>
      <c r="AL34" s="8"/>
      <c r="AM34" s="8"/>
      <c r="AN34" s="8"/>
      <c r="AO34" s="8"/>
      <c r="AP34" s="8"/>
      <c r="AQ34" s="428"/>
      <c r="AR34" s="440">
        <f>(SUM(H34:AP34))*G34</f>
        <v>0</v>
      </c>
      <c r="AS34" s="440">
        <f>IF('Study Information &amp; rates'!$B$44="Yes",AR34*0.287,0)</f>
        <v>0</v>
      </c>
      <c r="AT34" s="440">
        <f>IF('Study Information &amp; rates'!$B$44="No",0,AR34*0.05)</f>
        <v>0</v>
      </c>
      <c r="AU34" s="440">
        <f>AR34+AS34+AT34</f>
        <v>0</v>
      </c>
      <c r="AV34" s="440">
        <f>'Set-up and other costs'!$B$18*'Per patient Arm 2'!AU34</f>
        <v>0</v>
      </c>
      <c r="BC34" s="2">
        <f>H34*G34</f>
        <v>0</v>
      </c>
      <c r="BD34" s="2">
        <f>IF('Study Information &amp; rates'!$B$44='Study Information &amp; rates'!$V$12,BC34*0.287,0)</f>
        <v>0</v>
      </c>
      <c r="BE34" s="2">
        <f>IF((Reconciliation!$C$15)&gt;5000,BC34*0.05,0)</f>
        <v>0</v>
      </c>
      <c r="BF34" s="2">
        <f>BC34+BD34+BE34</f>
        <v>0</v>
      </c>
      <c r="BG34" s="6" t="b">
        <f>IF($B34='Look Up'!$A$5,$H34)</f>
        <v>0</v>
      </c>
      <c r="BH34" s="6" t="b">
        <f>IF($B34='Look Up'!$A$6,$H34)</f>
        <v>0</v>
      </c>
      <c r="BI34" s="6" t="b">
        <f>IF($B34='Look Up'!$A$7,$H34)</f>
        <v>0</v>
      </c>
      <c r="BJ34" s="6" t="b">
        <f>IF($B34='Look Up'!$A$7,$H34)</f>
        <v>0</v>
      </c>
      <c r="BL34" s="6">
        <f>IF($B34='Look Up'!$A$6,$C34*$H34,0)+IF($B34='Look Up'!$A$7,$C34*$H34,0)</f>
        <v>0</v>
      </c>
      <c r="BM34" s="6">
        <f>IF($B34='Look Up'!$A$6,$D34*$H34,0)+IF($B34='Look Up'!$A$7,$D34*$H34,0)</f>
        <v>0</v>
      </c>
      <c r="BN34" s="6">
        <f>IF($B34='Look Up'!$A$6,$E34*$H34,0)+IF($B34='Look Up'!$A$7,$E34*$H34,0)</f>
        <v>0</v>
      </c>
      <c r="BO34" s="6">
        <f>IF($B34='Look Up'!$A$6,$F34*$H34,0)+IF($B34='Look Up'!$A$7,$F34*$H34,0)</f>
        <v>0</v>
      </c>
      <c r="BQ34" s="6">
        <f>$C34*'Study Information &amp; rates'!$B$101*IF('Study Information &amp; rates'!$B$44='Study Information &amp; rates'!$V$12,(SUM($H34:$AP34)*1.287),(SUM($H34:$AP34)))</f>
        <v>0</v>
      </c>
      <c r="BR34" s="6">
        <f>$D34*'Study Information &amp; rates'!$C$101*IF('Study Information &amp; rates'!$B$44='Study Information &amp; rates'!$V$12,(SUM($H34:$AP34)*1.287),(SUM($H34:$AP34)))</f>
        <v>0</v>
      </c>
      <c r="BS34" s="6">
        <f>$E34*'Study Information &amp; rates'!$D$101*IF('Study Information &amp; rates'!$B$44='Study Information &amp; rates'!$V$12,(SUM($H34:$AP34)*1.287),(SUM($H34:$AP34)))</f>
        <v>0</v>
      </c>
      <c r="BT34" s="6">
        <f>$F34*'Study Information &amp; rates'!$F$101*IF('Study Information &amp; rates'!$B$44='Study Information &amp; rates'!$V$12,(SUM($H34:$AP34)*1.287),(SUM($H34:$AP34)))</f>
        <v>0</v>
      </c>
    </row>
    <row r="35" spans="1:72">
      <c r="A35" s="310"/>
      <c r="B35" s="8"/>
      <c r="C35" s="311"/>
      <c r="D35" s="181"/>
      <c r="E35" s="311"/>
      <c r="F35" s="181"/>
      <c r="G35" s="532">
        <f>IF(ISERROR((C35*'Study Information &amp; rates'!$B$101+D35*'Study Information &amp; rates'!$C$101+E35*'Study Information &amp; rates'!$D$101+F35*'Study Information &amp; rates'!$F$101)),0,(C35*'Study Information &amp; rates'!$B$101+D35*'Study Information &amp; rates'!$C$101+E35*'Study Information &amp; rates'!$D$101+F35*'Study Information &amp; rates'!$F$101))</f>
        <v>0</v>
      </c>
      <c r="H35" s="319"/>
      <c r="I35" s="319"/>
      <c r="J35" s="319"/>
      <c r="K35" s="319"/>
      <c r="L35" s="319"/>
      <c r="M35" s="319"/>
      <c r="N35" s="319"/>
      <c r="O35" s="319"/>
      <c r="P35" s="319"/>
      <c r="Q35" s="319"/>
      <c r="R35" s="319"/>
      <c r="S35" s="319"/>
      <c r="T35" s="319"/>
      <c r="U35" s="319"/>
      <c r="V35" s="319"/>
      <c r="W35" s="319"/>
      <c r="X35" s="315"/>
      <c r="Y35" s="8"/>
      <c r="Z35" s="8"/>
      <c r="AA35" s="8"/>
      <c r="AB35" s="8"/>
      <c r="AC35" s="8"/>
      <c r="AD35" s="8"/>
      <c r="AE35" s="8"/>
      <c r="AF35" s="8"/>
      <c r="AG35" s="8"/>
      <c r="AH35" s="8"/>
      <c r="AI35" s="8"/>
      <c r="AJ35" s="8"/>
      <c r="AK35" s="8"/>
      <c r="AL35" s="8"/>
      <c r="AM35" s="8"/>
      <c r="AN35" s="8"/>
      <c r="AO35" s="8"/>
      <c r="AP35" s="8"/>
      <c r="AQ35" s="428"/>
      <c r="AR35" s="440">
        <f>(SUM(H35:AP35))*G35</f>
        <v>0</v>
      </c>
      <c r="AS35" s="440">
        <f>IF('Study Information &amp; rates'!$B$44="Yes",AR35*0.287,0)</f>
        <v>0</v>
      </c>
      <c r="AT35" s="440">
        <f>IF('Study Information &amp; rates'!$B$44="No",0,AR35*0.05)</f>
        <v>0</v>
      </c>
      <c r="AU35" s="440">
        <f>AR35+AS35+AT35</f>
        <v>0</v>
      </c>
      <c r="AV35" s="440">
        <f>'Set-up and other costs'!$B$18*'Per patient Arm 2'!AU35</f>
        <v>0</v>
      </c>
      <c r="BC35" s="2">
        <f>H35*G35</f>
        <v>0</v>
      </c>
      <c r="BD35" s="2">
        <f>IF('Study Information &amp; rates'!$B$44='Study Information &amp; rates'!$V$12,BC35*0.287,0)</f>
        <v>0</v>
      </c>
      <c r="BE35" s="2">
        <f>IF((Reconciliation!$C$15)&gt;5000,BC35*0.05,0)</f>
        <v>0</v>
      </c>
      <c r="BF35" s="2">
        <f>BC35+BD35+BE35</f>
        <v>0</v>
      </c>
      <c r="BG35" s="6" t="b">
        <f>IF($B35='Look Up'!$A$5,$H35)</f>
        <v>0</v>
      </c>
      <c r="BH35" s="6" t="b">
        <f>IF($B35='Look Up'!$A$6,$H35)</f>
        <v>0</v>
      </c>
      <c r="BI35" s="6" t="b">
        <f>IF($B35='Look Up'!$A$7,$H35)</f>
        <v>0</v>
      </c>
      <c r="BJ35" s="6" t="b">
        <f>IF($B35='Look Up'!$A$7,$H35)</f>
        <v>0</v>
      </c>
      <c r="BL35" s="6">
        <f>IF($B35='Look Up'!$A$6,$C35*$H35,0)+IF($B35='Look Up'!$A$7,$C35*$H35,0)</f>
        <v>0</v>
      </c>
      <c r="BM35" s="6">
        <f>IF($B35='Look Up'!$A$6,$D35*$H35,0)+IF($B35='Look Up'!$A$7,$D35*$H35,0)</f>
        <v>0</v>
      </c>
      <c r="BN35" s="6">
        <f>IF($B35='Look Up'!$A$6,$E35*$H35,0)+IF($B35='Look Up'!$A$7,$E35*$H35,0)</f>
        <v>0</v>
      </c>
      <c r="BO35" s="6">
        <f>IF($B35='Look Up'!$A$6,$F35*$H35,0)+IF($B35='Look Up'!$A$7,$F35*$H35,0)</f>
        <v>0</v>
      </c>
      <c r="BQ35" s="6">
        <f>$C35*'Study Information &amp; rates'!$B$101*IF('Study Information &amp; rates'!$B$44='Study Information &amp; rates'!$V$12,(SUM($H35:$AP35)*1.287),(SUM($H35:$AP35)))</f>
        <v>0</v>
      </c>
      <c r="BR35" s="6">
        <f>$D35*'Study Information &amp; rates'!$C$101*IF('Study Information &amp; rates'!$B$44='Study Information &amp; rates'!$V$12,(SUM($H35:$AP35)*1.287),(SUM($H35:$AP35)))</f>
        <v>0</v>
      </c>
      <c r="BS35" s="6">
        <f>$E35*'Study Information &amp; rates'!$D$101*IF('Study Information &amp; rates'!$B$44='Study Information &amp; rates'!$V$12,(SUM($H35:$AP35)*1.287),(SUM($H35:$AP35)))</f>
        <v>0</v>
      </c>
      <c r="BT35" s="6">
        <f>$F35*'Study Information &amp; rates'!$F$101*IF('Study Information &amp; rates'!$B$44='Study Information &amp; rates'!$V$12,(SUM($H35:$AP35)*1.287),(SUM($H35:$AP35)))</f>
        <v>0</v>
      </c>
    </row>
    <row r="36" spans="1:72">
      <c r="A36" s="310"/>
      <c r="B36" s="8"/>
      <c r="C36" s="311"/>
      <c r="D36" s="181"/>
      <c r="E36" s="311"/>
      <c r="F36" s="181"/>
      <c r="G36" s="532">
        <f>IF(ISERROR((C36*'Study Information &amp; rates'!$B$101+D36*'Study Information &amp; rates'!$C$101+E36*'Study Information &amp; rates'!$D$101+F36*'Study Information &amp; rates'!$F$101)),0,(C36*'Study Information &amp; rates'!$B$101+D36*'Study Information &amp; rates'!$C$101+E36*'Study Information &amp; rates'!$D$101+F36*'Study Information &amp; rates'!$F$101))</f>
        <v>0</v>
      </c>
      <c r="H36" s="319"/>
      <c r="I36" s="319"/>
      <c r="J36" s="319"/>
      <c r="K36" s="319"/>
      <c r="L36" s="319"/>
      <c r="M36" s="319"/>
      <c r="N36" s="319"/>
      <c r="O36" s="319"/>
      <c r="P36" s="319"/>
      <c r="Q36" s="319"/>
      <c r="R36" s="319"/>
      <c r="S36" s="319"/>
      <c r="T36" s="319"/>
      <c r="U36" s="319"/>
      <c r="V36" s="319"/>
      <c r="W36" s="319"/>
      <c r="X36" s="315"/>
      <c r="Y36" s="8"/>
      <c r="Z36" s="8"/>
      <c r="AA36" s="8"/>
      <c r="AB36" s="8"/>
      <c r="AC36" s="8"/>
      <c r="AD36" s="8"/>
      <c r="AE36" s="8"/>
      <c r="AF36" s="8"/>
      <c r="AG36" s="8"/>
      <c r="AH36" s="8"/>
      <c r="AI36" s="8"/>
      <c r="AJ36" s="8"/>
      <c r="AK36" s="8"/>
      <c r="AL36" s="8"/>
      <c r="AM36" s="8"/>
      <c r="AN36" s="8"/>
      <c r="AO36" s="8"/>
      <c r="AP36" s="8"/>
      <c r="AQ36" s="428"/>
      <c r="AR36" s="440">
        <f>(SUM(H36:AP36))*G36</f>
        <v>0</v>
      </c>
      <c r="AS36" s="440">
        <f>IF('Study Information &amp; rates'!$B$44="Yes",AR36*0.287,0)</f>
        <v>0</v>
      </c>
      <c r="AT36" s="440">
        <f>IF('Study Information &amp; rates'!$B$44="No",0,AR36*0.05)</f>
        <v>0</v>
      </c>
      <c r="AU36" s="440">
        <f>AR36+AS36+AT36</f>
        <v>0</v>
      </c>
      <c r="AV36" s="440">
        <f>'Set-up and other costs'!$B$18*'Per patient Arm 2'!AU36</f>
        <v>0</v>
      </c>
      <c r="BC36" s="2">
        <f>H36*G36</f>
        <v>0</v>
      </c>
      <c r="BD36" s="2">
        <f>IF('Study Information &amp; rates'!$B$44='Study Information &amp; rates'!$V$12,BC36*0.287,0)</f>
        <v>0</v>
      </c>
      <c r="BE36" s="2">
        <f>IF((Reconciliation!$C$5*1.287)&gt;5000,BC36*0.05,0)</f>
        <v>0</v>
      </c>
      <c r="BF36" s="2">
        <f>BC36+BD36+BE36</f>
        <v>0</v>
      </c>
      <c r="BG36" s="6" t="b">
        <f>IF($B36='Look Up'!$A$5,$H36)</f>
        <v>0</v>
      </c>
      <c r="BH36" s="6" t="b">
        <f>IF($B36='Look Up'!$A$6,$H36)</f>
        <v>0</v>
      </c>
      <c r="BJ36" s="6" t="b">
        <f>IF($B36='Look Up'!$A$7,$H36)</f>
        <v>0</v>
      </c>
      <c r="BL36" s="6">
        <f>IF($B36='[7]Look Up'!$A$6,$C36*$H36,0)+IF($B36='[7]Look Up'!$A$7,$C36*$H36,0)</f>
        <v>0</v>
      </c>
      <c r="BM36" s="6">
        <f>IF($B36='[7]Look Up'!$A$6,$D36*$H36,0)+IF($B36='[7]Look Up'!$A$7,$D36*$H36,0)</f>
        <v>0</v>
      </c>
      <c r="BN36" s="6">
        <f>IF($B36='[7]Look Up'!$A$6,$E36*$H36,0)+IF($B36='[7]Look Up'!$A$7,$E36*$H36,0)</f>
        <v>0</v>
      </c>
      <c r="BO36" s="6">
        <f>IF($B36='[7]Look Up'!$A$6,$F36*$H36,0)+IF($B36='[7]Look Up'!$A$7,$F36*$H36,0)</f>
        <v>0</v>
      </c>
      <c r="BQ36" s="6">
        <f>$C36*'Study Information &amp; rates'!$B$101*IF('Study Information &amp; rates'!$B$44='Study Information &amp; rates'!$V$12,(SUM($H36:$AP36)*1.287),(SUM($H36:$AP36)))</f>
        <v>0</v>
      </c>
      <c r="BR36" s="6">
        <f>$D36*'Study Information &amp; rates'!$C$101*IF('Study Information &amp; rates'!$B$44='Study Information &amp; rates'!$V$12,(SUM($H36:$AP36)*1.287),(SUM($H36:$AP36)))</f>
        <v>0</v>
      </c>
      <c r="BS36" s="6">
        <f>$E36*'Study Information &amp; rates'!$D$101*IF('Study Information &amp; rates'!$B$44='Study Information &amp; rates'!$V$12,(SUM($H36:$AP36)*1.287),(SUM($H36:$AP36)))</f>
        <v>0</v>
      </c>
      <c r="BT36" s="6">
        <f>$F36*'Study Information &amp; rates'!$F$101*IF('Study Information &amp; rates'!$B$44='Study Information &amp; rates'!$V$12,(SUM($H36:$AP36)*1.287),(SUM($H36:$AP36)))</f>
        <v>0</v>
      </c>
    </row>
    <row r="37" spans="1:72">
      <c r="A37" s="310"/>
      <c r="B37" s="8"/>
      <c r="C37" s="311"/>
      <c r="D37" s="181"/>
      <c r="E37" s="311"/>
      <c r="F37" s="181"/>
      <c r="G37" s="532">
        <f>IF(ISERROR((C37*'Study Information &amp; rates'!$B$101+D37*'Study Information &amp; rates'!$C$101+E37*'Study Information &amp; rates'!$D$101+F37*'Study Information &amp; rates'!$F$101)),0,(C37*'Study Information &amp; rates'!$B$101+D37*'Study Information &amp; rates'!$C$101+E37*'Study Information &amp; rates'!$D$101+F37*'Study Information &amp; rates'!$F$101))</f>
        <v>0</v>
      </c>
      <c r="H37" s="319"/>
      <c r="I37" s="319"/>
      <c r="J37" s="319"/>
      <c r="K37" s="319"/>
      <c r="L37" s="319"/>
      <c r="M37" s="319"/>
      <c r="N37" s="319"/>
      <c r="O37" s="319"/>
      <c r="P37" s="319"/>
      <c r="Q37" s="319"/>
      <c r="R37" s="319"/>
      <c r="S37" s="319"/>
      <c r="T37" s="319"/>
      <c r="U37" s="319"/>
      <c r="V37" s="319"/>
      <c r="W37" s="319"/>
      <c r="X37" s="315"/>
      <c r="Y37" s="8"/>
      <c r="Z37" s="8"/>
      <c r="AA37" s="8"/>
      <c r="AB37" s="8"/>
      <c r="AC37" s="8"/>
      <c r="AD37" s="8"/>
      <c r="AE37" s="8"/>
      <c r="AF37" s="8"/>
      <c r="AG37" s="8"/>
      <c r="AH37" s="8"/>
      <c r="AI37" s="8"/>
      <c r="AJ37" s="8"/>
      <c r="AK37" s="8"/>
      <c r="AL37" s="8"/>
      <c r="AM37" s="8"/>
      <c r="AN37" s="8"/>
      <c r="AO37" s="8"/>
      <c r="AP37" s="8"/>
      <c r="AQ37" s="428"/>
      <c r="AR37" s="440">
        <f>(SUM(H37:AP37))*G37</f>
        <v>0</v>
      </c>
      <c r="AS37" s="440">
        <f>IF('Study Information &amp; rates'!$B$44="Yes",AR37*0.287,0)</f>
        <v>0</v>
      </c>
      <c r="AT37" s="440">
        <f>IF('Study Information &amp; rates'!$B$44="No",0,AR37*0.05)</f>
        <v>0</v>
      </c>
      <c r="AU37" s="440">
        <f>AR37+AS37+AT37</f>
        <v>0</v>
      </c>
      <c r="AV37" s="440">
        <f>'Set-up and other costs'!$B$18*'Per patient Arm 2'!AU37</f>
        <v>0</v>
      </c>
      <c r="BC37" s="2">
        <f>H37*G37</f>
        <v>0</v>
      </c>
      <c r="BD37" s="2">
        <f>IF('Study Information &amp; rates'!$B$44='Study Information &amp; rates'!$V$12,BC37*0.287,0)</f>
        <v>0</v>
      </c>
      <c r="BE37" s="2">
        <f>IF((Reconciliation!$C$5*1.287)&gt;5000,BC37*0.05,0)</f>
        <v>0</v>
      </c>
      <c r="BF37" s="2">
        <f>BC37+BD37+BE37</f>
        <v>0</v>
      </c>
      <c r="BG37" s="6" t="b">
        <f>IF($B37='Look Up'!$A$5,$H37)</f>
        <v>0</v>
      </c>
      <c r="BH37" s="6" t="b">
        <f>IF($B37='Look Up'!$A$6,$H37)</f>
        <v>0</v>
      </c>
      <c r="BJ37" s="6" t="b">
        <f>IF($B37='Look Up'!$A$7,$H37)</f>
        <v>0</v>
      </c>
      <c r="BL37" s="6">
        <f>IF($B37='[7]Look Up'!$A$6,$C37*$H37,0)+IF($B37='[7]Look Up'!$A$7,$C37*$H37,0)</f>
        <v>0</v>
      </c>
      <c r="BM37" s="6">
        <f>IF($B37='[7]Look Up'!$A$6,$D37*$H37,0)+IF($B37='[7]Look Up'!$A$7,$D37*$H37,0)</f>
        <v>0</v>
      </c>
      <c r="BN37" s="6">
        <f>IF($B37='[7]Look Up'!$A$6,$E37*$H37,0)+IF($B37='[7]Look Up'!$A$7,$E37*$H37,0)</f>
        <v>0</v>
      </c>
      <c r="BO37" s="6">
        <f>IF($B37='[7]Look Up'!$A$6,$F37*$H37,0)+IF($B37='[7]Look Up'!$A$7,$F37*$H37,0)</f>
        <v>0</v>
      </c>
      <c r="BQ37" s="6">
        <f>$C37*'Study Information &amp; rates'!$B$101*IF('Study Information &amp; rates'!$B$44='Study Information &amp; rates'!$V$12,(SUM($H37:$AP37)*1.287),(SUM($H37:$AP37)))</f>
        <v>0</v>
      </c>
      <c r="BR37" s="6">
        <f>$D37*'Study Information &amp; rates'!$C$101*IF('Study Information &amp; rates'!$B$44='Study Information &amp; rates'!$V$12,(SUM($H37:$AP37)*1.287),(SUM($H37:$AP37)))</f>
        <v>0</v>
      </c>
      <c r="BS37" s="6">
        <f>$E37*'Study Information &amp; rates'!$D$101*IF('Study Information &amp; rates'!$B$44='Study Information &amp; rates'!$V$12,(SUM($H37:$AP37)*1.287),(SUM($H37:$AP37)))</f>
        <v>0</v>
      </c>
      <c r="BT37" s="6">
        <f>$F37*'Study Information &amp; rates'!$F$101*IF('Study Information &amp; rates'!$B$44='Study Information &amp; rates'!$V$12,(SUM($H37:$AP37)*1.287),(SUM($H37:$AP37)))</f>
        <v>0</v>
      </c>
    </row>
    <row r="38" spans="1:72">
      <c r="A38" s="310"/>
      <c r="B38" s="8"/>
      <c r="C38" s="311"/>
      <c r="D38" s="181"/>
      <c r="E38" s="311"/>
      <c r="F38" s="181"/>
      <c r="G38" s="532">
        <f>IF(ISERROR((C38*'Study Information &amp; rates'!$B$101+D38*'Study Information &amp; rates'!$C$101+E38*'Study Information &amp; rates'!$D$101+F38*'Study Information &amp; rates'!$F$101)),0,(C38*'Study Information &amp; rates'!$B$101+D38*'Study Information &amp; rates'!$C$101+E38*'Study Information &amp; rates'!$D$101+F38*'Study Information &amp; rates'!$F$101))</f>
        <v>0</v>
      </c>
      <c r="H38" s="319"/>
      <c r="I38" s="319"/>
      <c r="J38" s="319"/>
      <c r="K38" s="319"/>
      <c r="L38" s="319"/>
      <c r="M38" s="319"/>
      <c r="N38" s="319"/>
      <c r="O38" s="319"/>
      <c r="P38" s="319"/>
      <c r="Q38" s="319"/>
      <c r="R38" s="319"/>
      <c r="S38" s="319"/>
      <c r="T38" s="319"/>
      <c r="U38" s="319"/>
      <c r="V38" s="319"/>
      <c r="W38" s="319"/>
      <c r="X38" s="315"/>
      <c r="Y38" s="8"/>
      <c r="Z38" s="8"/>
      <c r="AA38" s="8"/>
      <c r="AB38" s="8"/>
      <c r="AC38" s="8"/>
      <c r="AD38" s="8"/>
      <c r="AE38" s="8"/>
      <c r="AF38" s="8"/>
      <c r="AG38" s="8"/>
      <c r="AH38" s="8"/>
      <c r="AI38" s="8"/>
      <c r="AJ38" s="8"/>
      <c r="AK38" s="8"/>
      <c r="AL38" s="8"/>
      <c r="AM38" s="8"/>
      <c r="AN38" s="8"/>
      <c r="AO38" s="8"/>
      <c r="AP38" s="8"/>
      <c r="AQ38" s="428"/>
      <c r="AR38" s="440">
        <f>(SUM(H38:AP38))*G38</f>
        <v>0</v>
      </c>
      <c r="AS38" s="440">
        <f>IF('Study Information &amp; rates'!$B$44="Yes",AR38*0.287,0)</f>
        <v>0</v>
      </c>
      <c r="AT38" s="440">
        <f>IF('Study Information &amp; rates'!$B$44="No",0,AR38*0.05)</f>
        <v>0</v>
      </c>
      <c r="AU38" s="440">
        <f>AR38+AS38+AT38</f>
        <v>0</v>
      </c>
      <c r="AV38" s="440">
        <f>'Set-up and other costs'!$B$18*'Per patient Arm 2'!AU38</f>
        <v>0</v>
      </c>
      <c r="BC38" s="2">
        <f>H38*G38</f>
        <v>0</v>
      </c>
      <c r="BD38" s="2">
        <f>IF('Study Information &amp; rates'!$B$44='Study Information &amp; rates'!$V$12,BC38*0.287,0)</f>
        <v>0</v>
      </c>
      <c r="BE38" s="2">
        <f>IF((Reconciliation!$C$5*1.287)&gt;5000,BC38*0.05,0)</f>
        <v>0</v>
      </c>
      <c r="BF38" s="2">
        <f>BC38+BD38+BE38</f>
        <v>0</v>
      </c>
      <c r="BG38" s="6" t="b">
        <f>IF($B38='Look Up'!$A$5,$H38)</f>
        <v>0</v>
      </c>
      <c r="BH38" s="6" t="b">
        <f>IF($B38='Look Up'!$A$6,$H38)</f>
        <v>0</v>
      </c>
      <c r="BJ38" s="6" t="b">
        <f>IF($B38='Look Up'!$A$7,$H38)</f>
        <v>0</v>
      </c>
      <c r="BL38" s="6">
        <f>IF($B38='[7]Look Up'!$A$6,$C38*$H38,0)+IF($B38='[7]Look Up'!$A$7,$C38*$H38,0)</f>
        <v>0</v>
      </c>
      <c r="BM38" s="6">
        <f>IF($B38='[7]Look Up'!$A$6,$D38*$H38,0)+IF($B38='[7]Look Up'!$A$7,$D38*$H38,0)</f>
        <v>0</v>
      </c>
      <c r="BN38" s="6">
        <f>IF($B38='[7]Look Up'!$A$6,$E38*$H38,0)+IF($B38='[7]Look Up'!$A$7,$E38*$H38,0)</f>
        <v>0</v>
      </c>
      <c r="BO38" s="6">
        <f>IF($B38='[7]Look Up'!$A$6,$F38*$H38,0)+IF($B38='[7]Look Up'!$A$7,$F38*$H38,0)</f>
        <v>0</v>
      </c>
      <c r="BQ38" s="6">
        <f>$C38*'Study Information &amp; rates'!$B$101*IF('Study Information &amp; rates'!$B$44='Study Information &amp; rates'!$V$12,(SUM($H38:$AP38)*1.287),(SUM($H38:$AP38)))</f>
        <v>0</v>
      </c>
      <c r="BR38" s="6">
        <f>$D38*'Study Information &amp; rates'!$C$101*IF('Study Information &amp; rates'!$B$44='Study Information &amp; rates'!$V$12,(SUM($H38:$AP38)*1.287),(SUM($H38:$AP38)))</f>
        <v>0</v>
      </c>
      <c r="BS38" s="6">
        <f>$E38*'Study Information &amp; rates'!$D$101*IF('Study Information &amp; rates'!$B$44='Study Information &amp; rates'!$V$12,(SUM($H38:$AP38)*1.287),(SUM($H38:$AP38)))</f>
        <v>0</v>
      </c>
      <c r="BT38" s="6">
        <f>$F38*'Study Information &amp; rates'!$F$101*IF('Study Information &amp; rates'!$B$44='Study Information &amp; rates'!$V$12,(SUM($H38:$AP38)*1.287),(SUM($H38:$AP38)))</f>
        <v>0</v>
      </c>
    </row>
    <row r="39" spans="1:72">
      <c r="A39" s="310"/>
      <c r="B39" s="8"/>
      <c r="C39" s="311"/>
      <c r="D39" s="181"/>
      <c r="E39" s="311"/>
      <c r="F39" s="181"/>
      <c r="G39" s="532">
        <f>IF(ISERROR((C39*'Study Information &amp; rates'!$B$101+D39*'Study Information &amp; rates'!$C$101+E39*'Study Information &amp; rates'!$D$101+F39*'Study Information &amp; rates'!$F$101)),0,(C39*'Study Information &amp; rates'!$B$101+D39*'Study Information &amp; rates'!$C$101+E39*'Study Information &amp; rates'!$D$101+F39*'Study Information &amp; rates'!$F$101))</f>
        <v>0</v>
      </c>
      <c r="H39" s="319"/>
      <c r="I39" s="319"/>
      <c r="J39" s="319"/>
      <c r="K39" s="319"/>
      <c r="L39" s="319"/>
      <c r="M39" s="319"/>
      <c r="N39" s="319"/>
      <c r="O39" s="319"/>
      <c r="P39" s="319"/>
      <c r="Q39" s="319"/>
      <c r="R39" s="319"/>
      <c r="S39" s="319"/>
      <c r="T39" s="319"/>
      <c r="U39" s="319"/>
      <c r="V39" s="319"/>
      <c r="W39" s="319"/>
      <c r="X39" s="315"/>
      <c r="Y39" s="8"/>
      <c r="Z39" s="8"/>
      <c r="AA39" s="8"/>
      <c r="AB39" s="8"/>
      <c r="AC39" s="8"/>
      <c r="AD39" s="8"/>
      <c r="AE39" s="8"/>
      <c r="AF39" s="8"/>
      <c r="AG39" s="8"/>
      <c r="AH39" s="8"/>
      <c r="AI39" s="8"/>
      <c r="AJ39" s="8"/>
      <c r="AK39" s="8"/>
      <c r="AL39" s="8"/>
      <c r="AM39" s="8"/>
      <c r="AN39" s="8"/>
      <c r="AO39" s="8"/>
      <c r="AP39" s="8"/>
      <c r="AQ39" s="428"/>
      <c r="AR39" s="440">
        <f>(SUM(H39:AP39))*G39</f>
        <v>0</v>
      </c>
      <c r="AS39" s="440">
        <f>IF('Study Information &amp; rates'!$B$44="Yes",AR39*0.287,0)</f>
        <v>0</v>
      </c>
      <c r="AT39" s="440">
        <f>IF('Study Information &amp; rates'!$B$44="No",0,AR39*0.05)</f>
        <v>0</v>
      </c>
      <c r="AU39" s="440">
        <f>AR39+AS39+AT39</f>
        <v>0</v>
      </c>
      <c r="AV39" s="440">
        <f>'Set-up and other costs'!$B$18*'Per patient Arm 2'!AU39</f>
        <v>0</v>
      </c>
      <c r="BC39" s="2">
        <f>H39*G39</f>
        <v>0</v>
      </c>
      <c r="BD39" s="2">
        <f>IF('Study Information &amp; rates'!$B$44='Study Information &amp; rates'!$V$12,BC39*0.287,0)</f>
        <v>0</v>
      </c>
      <c r="BE39" s="2">
        <f>IF((Reconciliation!$C$5*1.287)&gt;5000,BC39*0.05,0)</f>
        <v>0</v>
      </c>
      <c r="BF39" s="2">
        <f>BC39+BD39+BE39</f>
        <v>0</v>
      </c>
      <c r="BG39" s="6" t="b">
        <f>IF($B39='Look Up'!$A$5,$H39)</f>
        <v>0</v>
      </c>
      <c r="BH39" s="6" t="b">
        <f>IF($B39='Look Up'!$A$6,$H39)</f>
        <v>0</v>
      </c>
      <c r="BJ39" s="6" t="b">
        <f>IF($B39='Look Up'!$A$7,$H39)</f>
        <v>0</v>
      </c>
      <c r="BL39" s="6">
        <f>IF($B39='[7]Look Up'!$A$6,$C39*$H39,0)+IF($B39='[7]Look Up'!$A$7,$C39*$H39,0)</f>
        <v>0</v>
      </c>
      <c r="BM39" s="6">
        <f>IF($B39='[7]Look Up'!$A$6,$D39*$H39,0)+IF($B39='[7]Look Up'!$A$7,$D39*$H39,0)</f>
        <v>0</v>
      </c>
      <c r="BN39" s="6">
        <f>IF($B39='[7]Look Up'!$A$6,$E39*$H39,0)+IF($B39='[7]Look Up'!$A$7,$E39*$H39,0)</f>
        <v>0</v>
      </c>
      <c r="BO39" s="6">
        <f>IF($B39='[7]Look Up'!$A$6,$F39*$H39,0)+IF($B39='[7]Look Up'!$A$7,$F39*$H39,0)</f>
        <v>0</v>
      </c>
      <c r="BQ39" s="6">
        <f>$C39*'Study Information &amp; rates'!$B$101*IF('Study Information &amp; rates'!$B$44='Study Information &amp; rates'!$V$12,(SUM($H39:$AP39)*1.287),(SUM($H39:$AP39)))</f>
        <v>0</v>
      </c>
      <c r="BR39" s="6">
        <f>$D39*'Study Information &amp; rates'!$C$101*IF('Study Information &amp; rates'!$B$44='Study Information &amp; rates'!$V$12,(SUM($H39:$AP39)*1.287),(SUM($H39:$AP39)))</f>
        <v>0</v>
      </c>
      <c r="BS39" s="6">
        <f>$E39*'Study Information &amp; rates'!$D$101*IF('Study Information &amp; rates'!$B$44='Study Information &amp; rates'!$V$12,(SUM($H39:$AP39)*1.287),(SUM($H39:$AP39)))</f>
        <v>0</v>
      </c>
      <c r="BT39" s="6">
        <f>$F39*'Study Information &amp; rates'!$F$101*IF('Study Information &amp; rates'!$B$44='Study Information &amp; rates'!$V$12,(SUM($H39:$AP39)*1.287),(SUM($H39:$AP39)))</f>
        <v>0</v>
      </c>
    </row>
    <row r="40" spans="1:72">
      <c r="A40" s="320"/>
      <c r="B40" s="8"/>
      <c r="C40" s="181"/>
      <c r="D40" s="181"/>
      <c r="E40" s="181"/>
      <c r="F40" s="181"/>
      <c r="G40" s="532">
        <f>IF(ISERROR((C40*'Study Information &amp; rates'!$B$101+D40*'Study Information &amp; rates'!$C$101+E40*'Study Information &amp; rates'!$D$101+F40*'Study Information &amp; rates'!$F$101)),0,(C40*'Study Information &amp; rates'!$B$101+D40*'Study Information &amp; rates'!$C$101+E40*'Study Information &amp; rates'!$D$101+F40*'Study Information &amp; rates'!$F$101))</f>
        <v>0</v>
      </c>
      <c r="H40" s="319"/>
      <c r="I40" s="319"/>
      <c r="J40" s="319"/>
      <c r="K40" s="319"/>
      <c r="L40" s="319"/>
      <c r="M40" s="319"/>
      <c r="N40" s="319"/>
      <c r="O40" s="319"/>
      <c r="P40" s="319"/>
      <c r="Q40" s="319"/>
      <c r="R40" s="319"/>
      <c r="S40" s="319"/>
      <c r="T40" s="319"/>
      <c r="U40" s="319"/>
      <c r="V40" s="319"/>
      <c r="W40" s="319"/>
      <c r="X40" s="315"/>
      <c r="Y40" s="8"/>
      <c r="Z40" s="8"/>
      <c r="AA40" s="8"/>
      <c r="AB40" s="8"/>
      <c r="AC40" s="8"/>
      <c r="AD40" s="8"/>
      <c r="AE40" s="8"/>
      <c r="AF40" s="8"/>
      <c r="AG40" s="8"/>
      <c r="AH40" s="8"/>
      <c r="AI40" s="8"/>
      <c r="AJ40" s="8"/>
      <c r="AK40" s="8"/>
      <c r="AL40" s="8"/>
      <c r="AM40" s="8"/>
      <c r="AN40" s="8"/>
      <c r="AO40" s="8"/>
      <c r="AP40" s="8"/>
      <c r="AQ40" s="428"/>
      <c r="AR40" s="440">
        <f>(SUM(H40:AP40))*G40</f>
        <v>0</v>
      </c>
      <c r="AS40" s="440">
        <f>IF('Study Information &amp; rates'!$B$44="Yes",AR40*0.287,0)</f>
        <v>0</v>
      </c>
      <c r="AT40" s="440">
        <f>IF('Study Information &amp; rates'!$B$44="No",0,AR40*0.05)</f>
        <v>0</v>
      </c>
      <c r="AU40" s="440">
        <f>AR40+AS40+AT40</f>
        <v>0</v>
      </c>
      <c r="AV40" s="440">
        <f>'Set-up and other costs'!$B$18*'Per patient Arm 2'!AU40</f>
        <v>0</v>
      </c>
      <c r="BC40" s="2">
        <f>H40*G40</f>
        <v>0</v>
      </c>
      <c r="BD40" s="2">
        <f>IF('Study Information &amp; rates'!$B$44='Study Information &amp; rates'!$V$12,BC40*0.287,0)</f>
        <v>0</v>
      </c>
      <c r="BE40" s="2">
        <f>IF((Reconciliation!$C$5*1.287)&gt;5000,BC40*0.05,0)</f>
        <v>0</v>
      </c>
      <c r="BF40" s="2">
        <f>BC40+BD40+BE40</f>
        <v>0</v>
      </c>
      <c r="BG40" s="6" t="b">
        <f>IF($B40='Look Up'!$A$5,$H40)</f>
        <v>0</v>
      </c>
      <c r="BH40" s="6" t="b">
        <f>IF($B40='Look Up'!$A$6,$H40)</f>
        <v>0</v>
      </c>
      <c r="BJ40" s="6" t="b">
        <f>IF($B40='Look Up'!$A$7,$H40)</f>
        <v>0</v>
      </c>
      <c r="BL40" s="6">
        <f>IF($B40='[7]Look Up'!$A$6,$C40*$H40,0)+IF($B40='[7]Look Up'!$A$7,$C40*$H40,0)</f>
        <v>0</v>
      </c>
      <c r="BM40" s="6">
        <f>IF($B40='[7]Look Up'!$A$6,$D40*$H40,0)+IF($B40='[7]Look Up'!$A$7,$D40*$H40,0)</f>
        <v>0</v>
      </c>
      <c r="BN40" s="6">
        <f>IF($B40='[7]Look Up'!$A$6,$E40*$H40,0)+IF($B40='[7]Look Up'!$A$7,$E40*$H40,0)</f>
        <v>0</v>
      </c>
      <c r="BO40" s="6">
        <f>IF($B40='[7]Look Up'!$A$6,$F40*$H40,0)+IF($B40='[7]Look Up'!$A$7,$F40*$H40,0)</f>
        <v>0</v>
      </c>
      <c r="BQ40" s="6">
        <f>$C40*'Study Information &amp; rates'!$B$101*IF('Study Information &amp; rates'!$B$44='Study Information &amp; rates'!$V$12,(SUM($H40:$AP40)*1.287),(SUM($H40:$AP40)))</f>
        <v>0</v>
      </c>
      <c r="BR40" s="6">
        <f>$D40*'Study Information &amp; rates'!$C$101*IF('Study Information &amp; rates'!$B$44='Study Information &amp; rates'!$V$12,(SUM($H40:$AP40)*1.287),(SUM($H40:$AP40)))</f>
        <v>0</v>
      </c>
      <c r="BS40" s="6">
        <f>$E40*'Study Information &amp; rates'!$D$101*IF('Study Information &amp; rates'!$B$44='Study Information &amp; rates'!$V$12,(SUM($H40:$AP40)*1.287),(SUM($H40:$AP40)))</f>
        <v>0</v>
      </c>
      <c r="BT40" s="6">
        <f>$F40*'Study Information &amp; rates'!$F$101*IF('Study Information &amp; rates'!$B$44='Study Information &amp; rates'!$V$12,(SUM($H40:$AP40)*1.287),(SUM($H40:$AP40)))</f>
        <v>0</v>
      </c>
    </row>
    <row r="41" spans="1:72">
      <c r="A41" s="320"/>
      <c r="B41" s="8"/>
      <c r="C41" s="181"/>
      <c r="D41" s="181"/>
      <c r="E41" s="181"/>
      <c r="F41" s="181"/>
      <c r="G41" s="532">
        <f>IF(ISERROR((C41*'Study Information &amp; rates'!$B$101+D41*'Study Information &amp; rates'!$C$101+E41*'Study Information &amp; rates'!$D$101+F41*'Study Information &amp; rates'!$F$101)),0,(C41*'Study Information &amp; rates'!$B$101+D41*'Study Information &amp; rates'!$C$101+E41*'Study Information &amp; rates'!$D$101+F41*'Study Information &amp; rates'!$F$101))</f>
        <v>0</v>
      </c>
      <c r="H41" s="319"/>
      <c r="I41" s="319"/>
      <c r="J41" s="319"/>
      <c r="K41" s="319"/>
      <c r="L41" s="319"/>
      <c r="M41" s="319"/>
      <c r="N41" s="319"/>
      <c r="O41" s="319"/>
      <c r="P41" s="319"/>
      <c r="Q41" s="319"/>
      <c r="R41" s="319"/>
      <c r="S41" s="319"/>
      <c r="T41" s="319"/>
      <c r="U41" s="319"/>
      <c r="V41" s="319"/>
      <c r="W41" s="319"/>
      <c r="X41" s="315"/>
      <c r="Y41" s="8"/>
      <c r="Z41" s="8"/>
      <c r="AA41" s="8"/>
      <c r="AB41" s="8"/>
      <c r="AC41" s="8"/>
      <c r="AD41" s="8"/>
      <c r="AE41" s="8"/>
      <c r="AF41" s="8"/>
      <c r="AG41" s="8"/>
      <c r="AH41" s="8"/>
      <c r="AI41" s="8"/>
      <c r="AJ41" s="8"/>
      <c r="AK41" s="8"/>
      <c r="AL41" s="8"/>
      <c r="AM41" s="8"/>
      <c r="AN41" s="8"/>
      <c r="AO41" s="8"/>
      <c r="AP41" s="8"/>
      <c r="AQ41" s="428"/>
      <c r="AR41" s="440">
        <f>(SUM(H41:AP41))*G41</f>
        <v>0</v>
      </c>
      <c r="AS41" s="440">
        <f>IF('Study Information &amp; rates'!$B$44="Yes",AR41*0.287,0)</f>
        <v>0</v>
      </c>
      <c r="AT41" s="440">
        <f>IF('Study Information &amp; rates'!$B$44="No",0,AR41*0.05)</f>
        <v>0</v>
      </c>
      <c r="AU41" s="440">
        <f>AR41+AS41+AT41</f>
        <v>0</v>
      </c>
      <c r="AV41" s="440">
        <f>'Set-up and other costs'!$B$18*'Per patient Arm 2'!AU41</f>
        <v>0</v>
      </c>
      <c r="BC41" s="2">
        <f>H41*G41</f>
        <v>0</v>
      </c>
      <c r="BD41" s="2">
        <f>IF('Study Information &amp; rates'!$B$44='Study Information &amp; rates'!$V$12,BC41*0.287,0)</f>
        <v>0</v>
      </c>
      <c r="BE41" s="2">
        <f>IF((Reconciliation!$C$5*1.287)&gt;5000,BC41*0.05,0)</f>
        <v>0</v>
      </c>
      <c r="BF41" s="2">
        <f>BC41+BD41+BE41</f>
        <v>0</v>
      </c>
      <c r="BG41" s="6" t="b">
        <f>IF($B41='Look Up'!$A$5,$H41)</f>
        <v>0</v>
      </c>
      <c r="BH41" s="6" t="b">
        <f>IF($B41='Look Up'!$A$6,$H41)</f>
        <v>0</v>
      </c>
      <c r="BJ41" s="6" t="b">
        <f>IF($B41='Look Up'!$A$7,$H41)</f>
        <v>0</v>
      </c>
      <c r="BL41" s="6">
        <f>IF($B41='[7]Look Up'!$A$6,$C41*$H41,0)+IF($B41='[7]Look Up'!$A$7,$C41*$H41,0)</f>
        <v>0</v>
      </c>
      <c r="BM41" s="6">
        <f>IF($B41='[7]Look Up'!$A$6,$D41*$H41,0)+IF($B41='[7]Look Up'!$A$7,$D41*$H41,0)</f>
        <v>0</v>
      </c>
      <c r="BN41" s="6">
        <f>IF($B41='[7]Look Up'!$A$6,$E41*$H41,0)+IF($B41='[7]Look Up'!$A$7,$E41*$H41,0)</f>
        <v>0</v>
      </c>
      <c r="BO41" s="6">
        <f>IF($B41='[7]Look Up'!$A$6,$F41*$H41,0)+IF($B41='[7]Look Up'!$A$7,$F41*$H41,0)</f>
        <v>0</v>
      </c>
      <c r="BQ41" s="6">
        <f>$C41*'Study Information &amp; rates'!$B$101*IF('Study Information &amp; rates'!$B$44='Study Information &amp; rates'!$V$12,(SUM($H41:$AP41)*1.287),(SUM($H41:$AP41)))</f>
        <v>0</v>
      </c>
      <c r="BR41" s="6">
        <f>$D41*'Study Information &amp; rates'!$C$101*IF('Study Information &amp; rates'!$B$44='Study Information &amp; rates'!$V$12,(SUM($H41:$AP41)*1.287),(SUM($H41:$AP41)))</f>
        <v>0</v>
      </c>
      <c r="BS41" s="6">
        <f>$E41*'Study Information &amp; rates'!$D$101*IF('Study Information &amp; rates'!$B$44='Study Information &amp; rates'!$V$12,(SUM($H41:$AP41)*1.287),(SUM($H41:$AP41)))</f>
        <v>0</v>
      </c>
      <c r="BT41" s="6">
        <f>$F41*'Study Information &amp; rates'!$F$101*IF('Study Information &amp; rates'!$B$44='Study Information &amp; rates'!$V$12,(SUM($H41:$AP41)*1.287),(SUM($H41:$AP41)))</f>
        <v>0</v>
      </c>
    </row>
    <row r="42" spans="1:72">
      <c r="A42" s="320"/>
      <c r="B42" s="8"/>
      <c r="C42" s="181"/>
      <c r="D42" s="181"/>
      <c r="E42" s="181"/>
      <c r="F42" s="181"/>
      <c r="G42" s="532">
        <f>IF(ISERROR((C42*'Study Information &amp; rates'!$B$101+D42*'Study Information &amp; rates'!$C$101+E42*'Study Information &amp; rates'!$D$101+F42*'Study Information &amp; rates'!$F$101)),0,(C42*'Study Information &amp; rates'!$B$101+D42*'Study Information &amp; rates'!$C$101+E42*'Study Information &amp; rates'!$D$101+F42*'Study Information &amp; rates'!$F$101))</f>
        <v>0</v>
      </c>
      <c r="H42" s="319"/>
      <c r="I42" s="319"/>
      <c r="J42" s="319"/>
      <c r="K42" s="319"/>
      <c r="L42" s="319"/>
      <c r="M42" s="319"/>
      <c r="N42" s="319"/>
      <c r="O42" s="319"/>
      <c r="P42" s="319"/>
      <c r="Q42" s="319"/>
      <c r="R42" s="319"/>
      <c r="S42" s="319"/>
      <c r="T42" s="319"/>
      <c r="U42" s="319"/>
      <c r="V42" s="319"/>
      <c r="W42" s="319"/>
      <c r="X42" s="318"/>
      <c r="Y42" s="327"/>
      <c r="Z42" s="327"/>
      <c r="AA42" s="327"/>
      <c r="AB42" s="327"/>
      <c r="AC42" s="327"/>
      <c r="AD42" s="327"/>
      <c r="AE42" s="327"/>
      <c r="AF42" s="327"/>
      <c r="AG42" s="327"/>
      <c r="AH42" s="327"/>
      <c r="AI42" s="327"/>
      <c r="AJ42" s="327"/>
      <c r="AK42" s="327"/>
      <c r="AL42" s="327"/>
      <c r="AM42" s="327"/>
      <c r="AN42" s="327"/>
      <c r="AO42" s="327"/>
      <c r="AP42" s="327"/>
      <c r="AQ42" s="428"/>
      <c r="AR42" s="440">
        <f>(SUM(H42:AP42))*G42</f>
        <v>0</v>
      </c>
      <c r="AS42" s="440">
        <f>IF('Study Information &amp; rates'!$B$44="Yes",AR42*0.287,0)</f>
        <v>0</v>
      </c>
      <c r="AT42" s="440">
        <f>IF('Study Information &amp; rates'!$B$44="No",0,AR42*0.05)</f>
        <v>0</v>
      </c>
      <c r="AU42" s="440">
        <f>AR42+AS42+AT42</f>
        <v>0</v>
      </c>
      <c r="AV42" s="440">
        <f>'Set-up and other costs'!$B$18*'Per patient Arm 2'!AU42</f>
        <v>0</v>
      </c>
      <c r="BC42" s="2">
        <f>H42*G42</f>
        <v>0</v>
      </c>
      <c r="BD42" s="2">
        <f>IF('Study Information &amp; rates'!$B$44='Study Information &amp; rates'!$V$12,BC42*0.287,0)</f>
        <v>0</v>
      </c>
      <c r="BE42" s="2">
        <f>IF((Reconciliation!$C$5*1.287)&gt;5000,BC42*0.05,0)</f>
        <v>0</v>
      </c>
      <c r="BF42" s="2">
        <f>BC42+BD42+BE42</f>
        <v>0</v>
      </c>
      <c r="BG42" s="6" t="b">
        <f>IF($B42='Look Up'!$A$5,$H42)</f>
        <v>0</v>
      </c>
      <c r="BH42" s="6" t="b">
        <f>IF($B42='Look Up'!$A$6,$H42)</f>
        <v>0</v>
      </c>
      <c r="BJ42" s="6" t="b">
        <f>IF($B42='Look Up'!$A$7,$H42)</f>
        <v>0</v>
      </c>
      <c r="BL42" s="6">
        <f>IF($B42='[7]Look Up'!$A$6,$C42*$H42,0)+IF($B42='[7]Look Up'!$A$7,$C42*$H42,0)</f>
        <v>0</v>
      </c>
      <c r="BM42" s="6">
        <f>IF($B42='[7]Look Up'!$A$6,$D42*$H42,0)+IF($B42='[7]Look Up'!$A$7,$D42*$H42,0)</f>
        <v>0</v>
      </c>
      <c r="BN42" s="6">
        <f>IF($B42='[7]Look Up'!$A$6,$E42*$H42,0)+IF($B42='[7]Look Up'!$A$7,$E42*$H42,0)</f>
        <v>0</v>
      </c>
      <c r="BO42" s="6">
        <f>IF($B42='[7]Look Up'!$A$6,$F42*$H42,0)+IF($B42='[7]Look Up'!$A$7,$F42*$H42,0)</f>
        <v>0</v>
      </c>
      <c r="BQ42" s="6">
        <f>$C42*'Study Information &amp; rates'!$B$101*IF('Study Information &amp; rates'!$B$44='Study Information &amp; rates'!$V$12,(SUM($H42:$AP42)*1.287),(SUM($H42:$AP42)))</f>
        <v>0</v>
      </c>
      <c r="BR42" s="6">
        <f>$D42*'Study Information &amp; rates'!$C$101*IF('Study Information &amp; rates'!$B$44='Study Information &amp; rates'!$V$12,(SUM($H42:$AP42)*1.287),(SUM($H42:$AP42)))</f>
        <v>0</v>
      </c>
      <c r="BS42" s="6">
        <f>$E42*'Study Information &amp; rates'!$D$101*IF('Study Information &amp; rates'!$B$44='Study Information &amp; rates'!$V$12,(SUM($H42:$AP42)*1.287),(SUM($H42:$AP42)))</f>
        <v>0</v>
      </c>
      <c r="BT42" s="6">
        <f>$F42*'Study Information &amp; rates'!$F$101*IF('Study Information &amp; rates'!$B$44='Study Information &amp; rates'!$V$12,(SUM($H42:$AP42)*1.287),(SUM($H42:$AP42)))</f>
        <v>0</v>
      </c>
    </row>
    <row r="43" spans="1:72">
      <c r="A43" s="8"/>
      <c r="B43" s="8"/>
      <c r="C43" s="181"/>
      <c r="D43" s="181"/>
      <c r="E43" s="181"/>
      <c r="F43" s="181"/>
      <c r="G43" s="532">
        <f>IF(ISERROR((C43*'Study Information &amp; rates'!$B$101+D43*'Study Information &amp; rates'!$C$101+E43*'Study Information &amp; rates'!$D$101+F43*'Study Information &amp; rates'!$F$101)),0,(C43*'Study Information &amp; rates'!$B$101+D43*'Study Information &amp; rates'!$C$101+E43*'Study Information &amp; rates'!$D$101+F43*'Study Information &amp; rates'!$F$101))</f>
        <v>0</v>
      </c>
      <c r="H43" s="319"/>
      <c r="I43" s="319"/>
      <c r="J43" s="319"/>
      <c r="K43" s="319"/>
      <c r="L43" s="319"/>
      <c r="M43" s="319"/>
      <c r="N43" s="319"/>
      <c r="O43" s="319"/>
      <c r="P43" s="319"/>
      <c r="Q43" s="319"/>
      <c r="R43" s="319"/>
      <c r="S43" s="319"/>
      <c r="T43" s="319"/>
      <c r="U43" s="319"/>
      <c r="V43" s="319"/>
      <c r="W43" s="319"/>
      <c r="X43" s="318"/>
      <c r="Y43" s="327"/>
      <c r="Z43" s="327"/>
      <c r="AA43" s="327"/>
      <c r="AB43" s="327"/>
      <c r="AC43" s="327"/>
      <c r="AD43" s="327"/>
      <c r="AE43" s="327"/>
      <c r="AF43" s="327"/>
      <c r="AG43" s="327"/>
      <c r="AH43" s="327"/>
      <c r="AI43" s="327"/>
      <c r="AJ43" s="327"/>
      <c r="AK43" s="327"/>
      <c r="AL43" s="327"/>
      <c r="AM43" s="327"/>
      <c r="AN43" s="327"/>
      <c r="AO43" s="327"/>
      <c r="AP43" s="327"/>
      <c r="AQ43" s="428"/>
      <c r="AR43" s="440">
        <f>(SUM(H43:AP43))*G43</f>
        <v>0</v>
      </c>
      <c r="AS43" s="440">
        <f>IF('Study Information &amp; rates'!$B$44="Yes",AR43*0.287,0)</f>
        <v>0</v>
      </c>
      <c r="AT43" s="440">
        <f>IF('Study Information &amp; rates'!$B$44="No",0,AR43*0.05)</f>
        <v>0</v>
      </c>
      <c r="AU43" s="440">
        <f>AR43+AS43+AT43</f>
        <v>0</v>
      </c>
      <c r="AV43" s="440">
        <f>'Set-up and other costs'!$B$18*'Per patient Arm 2'!AU43</f>
        <v>0</v>
      </c>
      <c r="BC43" s="2">
        <f>H43*G43</f>
        <v>0</v>
      </c>
      <c r="BD43" s="2">
        <f>IF('Study Information &amp; rates'!$B$44='Study Information &amp; rates'!$V$12,BC43*0.287,0)</f>
        <v>0</v>
      </c>
      <c r="BE43" s="2">
        <f>IF((Reconciliation!$C$5*1.287)&gt;5000,BC43*0.05,0)</f>
        <v>0</v>
      </c>
      <c r="BF43" s="2">
        <f>BC43+BD43+BE43</f>
        <v>0</v>
      </c>
      <c r="BG43" s="6" t="b">
        <f>IF($B43='Look Up'!$A$5,$H43)</f>
        <v>0</v>
      </c>
      <c r="BH43" s="6" t="b">
        <f>IF($B43='Look Up'!$A$6,$H43)</f>
        <v>0</v>
      </c>
      <c r="BJ43" s="6" t="b">
        <f>IF($B43='Look Up'!$A$7,$H43)</f>
        <v>0</v>
      </c>
      <c r="BL43" s="6">
        <f>IF($B43='[7]Look Up'!$A$6,$C43*$H43,0)+IF($B43='[7]Look Up'!$A$7,$C43*$H43,0)</f>
        <v>0</v>
      </c>
      <c r="BM43" s="6">
        <f>IF($B43='[7]Look Up'!$A$6,$D43*$H43,0)+IF($B43='[7]Look Up'!$A$7,$D43*$H43,0)</f>
        <v>0</v>
      </c>
      <c r="BN43" s="6">
        <f>IF($B43='[7]Look Up'!$A$6,$E43*$H43,0)+IF($B43='[7]Look Up'!$A$7,$E43*$H43,0)</f>
        <v>0</v>
      </c>
      <c r="BO43" s="6">
        <f>IF($B43='[7]Look Up'!$A$6,$F43*$H43,0)+IF($B43='[7]Look Up'!$A$7,$F43*$H43,0)</f>
        <v>0</v>
      </c>
      <c r="BQ43" s="6">
        <f>$C43*'Study Information &amp; rates'!$B$101*IF('Study Information &amp; rates'!$B$44='Study Information &amp; rates'!$V$12,(SUM($H43:$AP43)*1.287),(SUM($H43:$AP43)))</f>
        <v>0</v>
      </c>
      <c r="BR43" s="6">
        <f>$D43*'Study Information &amp; rates'!$C$101*IF('Study Information &amp; rates'!$B$44='Study Information &amp; rates'!$V$12,(SUM($H43:$AP43)*1.287),(SUM($H43:$AP43)))</f>
        <v>0</v>
      </c>
      <c r="BS43" s="6">
        <f>$E43*'Study Information &amp; rates'!$D$101*IF('Study Information &amp; rates'!$B$44='Study Information &amp; rates'!$V$12,(SUM($H43:$AP43)*1.287),(SUM($H43:$AP43)))</f>
        <v>0</v>
      </c>
      <c r="BT43" s="6">
        <f>$F43*'Study Information &amp; rates'!$F$101*IF('Study Information &amp; rates'!$B$44='Study Information &amp; rates'!$V$12,(SUM($H43:$AP43)*1.287),(SUM($H43:$AP43)))</f>
        <v>0</v>
      </c>
    </row>
    <row r="44" spans="1:72">
      <c r="A44" s="8"/>
      <c r="B44" s="8"/>
      <c r="C44" s="181"/>
      <c r="D44" s="181"/>
      <c r="E44" s="181"/>
      <c r="F44" s="181"/>
      <c r="G44" s="532">
        <f>IF(ISERROR((C44*'Study Information &amp; rates'!$B$101+D44*'Study Information &amp; rates'!$C$101+E44*'Study Information &amp; rates'!$D$101+F44*'Study Information &amp; rates'!$F$101)),0,(C44*'Study Information &amp; rates'!$B$101+D44*'Study Information &amp; rates'!$C$101+E44*'Study Information &amp; rates'!$D$101+F44*'Study Information &amp; rates'!$F$101))</f>
        <v>0</v>
      </c>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428"/>
      <c r="AR44" s="440">
        <f>(SUM(H44:AP44))*G44</f>
        <v>0</v>
      </c>
      <c r="AS44" s="440">
        <f>IF('Study Information &amp; rates'!$B$44="Yes",AR44*0.287,0)</f>
        <v>0</v>
      </c>
      <c r="AT44" s="440">
        <f>IF('Study Information &amp; rates'!$B$44="No",0,AR44*0.05)</f>
        <v>0</v>
      </c>
      <c r="AU44" s="440">
        <f>AR44+AS44+AT44</f>
        <v>0</v>
      </c>
      <c r="AV44" s="440">
        <f>'Set-up and other costs'!$B$18*'Per patient Arm 2'!AU44</f>
        <v>0</v>
      </c>
      <c r="AW44" s="238"/>
      <c r="BC44" s="2">
        <f>H44*G44</f>
        <v>0</v>
      </c>
      <c r="BD44" s="2">
        <f>IF('Study Information &amp; rates'!$B$44='Study Information &amp; rates'!$V$12,BC44*0.287,0)</f>
        <v>0</v>
      </c>
      <c r="BE44" s="2">
        <f>IF((Reconciliation!$C$5*1.287)&gt;5000,BC44*0.05,0)</f>
        <v>0</v>
      </c>
      <c r="BF44" s="2">
        <f>BC44+BD44+BE44</f>
        <v>0</v>
      </c>
      <c r="BG44" s="6" t="b">
        <f>IF($B44='Look Up'!$A$5,$H44)</f>
        <v>0</v>
      </c>
      <c r="BH44" s="6" t="b">
        <f>IF($B44='Look Up'!$A$6,$H44)</f>
        <v>0</v>
      </c>
      <c r="BJ44" s="6" t="b">
        <f>IF($B44='Look Up'!$A$7,$H44)</f>
        <v>0</v>
      </c>
      <c r="BL44" s="6">
        <f>IF($B44='[7]Look Up'!$A$6,$C44*$H44,0)+IF($B44='[7]Look Up'!$A$7,$C44*$H44,0)</f>
        <v>0</v>
      </c>
      <c r="BM44" s="6">
        <f>IF($B44='[7]Look Up'!$A$6,$D44*$H44,0)+IF($B44='[7]Look Up'!$A$7,$D44*$H44,0)</f>
        <v>0</v>
      </c>
      <c r="BN44" s="6">
        <f>IF($B44='[7]Look Up'!$A$6,$E44*$H44,0)+IF($B44='[7]Look Up'!$A$7,$E44*$H44,0)</f>
        <v>0</v>
      </c>
      <c r="BO44" s="6">
        <f>IF($B44='[7]Look Up'!$A$6,$F44*$H44,0)+IF($B44='[7]Look Up'!$A$7,$F44*$H44,0)</f>
        <v>0</v>
      </c>
      <c r="BQ44" s="6">
        <f>$C44*'Study Information &amp; rates'!$B$101*IF('Study Information &amp; rates'!$B$44='Study Information &amp; rates'!$V$12,(SUM($H44:$AP44)*1.287),(SUM($H44:$AP44)))</f>
        <v>0</v>
      </c>
      <c r="BR44" s="6">
        <f>$D44*'Study Information &amp; rates'!$C$101*IF('Study Information &amp; rates'!$B$44='Study Information &amp; rates'!$V$12,(SUM($H44:$AP44)*1.287),(SUM($H44:$AP44)))</f>
        <v>0</v>
      </c>
      <c r="BS44" s="6">
        <f>$E44*'Study Information &amp; rates'!$D$101*IF('Study Information &amp; rates'!$B$44='Study Information &amp; rates'!$V$12,(SUM($H44:$AP44)*1.287),(SUM($H44:$AP44)))</f>
        <v>0</v>
      </c>
      <c r="BT44" s="6">
        <f>$F44*'Study Information &amp; rates'!$F$101*IF('Study Information &amp; rates'!$B$44='Study Information &amp; rates'!$V$12,(SUM($H44:$AP44)*1.287),(SUM($H44:$AP44)))</f>
        <v>0</v>
      </c>
    </row>
    <row r="45" spans="1:72">
      <c r="A45" s="8"/>
      <c r="B45" s="8"/>
      <c r="C45" s="181"/>
      <c r="D45" s="181"/>
      <c r="E45" s="181"/>
      <c r="F45" s="181"/>
      <c r="G45" s="532">
        <f>IF(ISERROR((C45*'Study Information &amp; rates'!$B$101+D45*'Study Information &amp; rates'!$C$101+E45*'Study Information &amp; rates'!$D$101+F45*'Study Information &amp; rates'!$F$101)),0,(C45*'Study Information &amp; rates'!$B$101+D45*'Study Information &amp; rates'!$C$101+E45*'Study Information &amp; rates'!$D$101+F45*'Study Information &amp; rates'!$F$101))</f>
        <v>0</v>
      </c>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428"/>
      <c r="AR45" s="440">
        <f>(SUM(H45:AP45))*G45</f>
        <v>0</v>
      </c>
      <c r="AS45" s="440">
        <f>IF('Study Information &amp; rates'!$B$44="Yes",AR45*0.287,0)</f>
        <v>0</v>
      </c>
      <c r="AT45" s="440">
        <f>IF('Study Information &amp; rates'!$B$44="No",0,AR45*0.05)</f>
        <v>0</v>
      </c>
      <c r="AU45" s="440">
        <f>AR45+AS45+AT45</f>
        <v>0</v>
      </c>
      <c r="AV45" s="440">
        <f>'Set-up and other costs'!$B$18*'Per patient Arm 2'!AU45</f>
        <v>0</v>
      </c>
      <c r="BC45" s="2">
        <f>H45*G45</f>
        <v>0</v>
      </c>
      <c r="BD45" s="2">
        <f>IF('Study Information &amp; rates'!$B$44='Study Information &amp; rates'!$V$12,BC45*0.287,0)</f>
        <v>0</v>
      </c>
      <c r="BE45" s="2">
        <f>IF((Reconciliation!$C$5*1.287)&gt;5000,BC45*0.05,0)</f>
        <v>0</v>
      </c>
      <c r="BF45" s="2">
        <f>BC45+BD45+BE45</f>
        <v>0</v>
      </c>
      <c r="BG45" s="6" t="b">
        <f>IF($B45='Look Up'!$A$5,$H45)</f>
        <v>0</v>
      </c>
      <c r="BH45" s="6" t="b">
        <f>IF($B45='Look Up'!$A$6,$H45)</f>
        <v>0</v>
      </c>
      <c r="BJ45" s="6" t="b">
        <f>IF($B45='Look Up'!$A$7,$H45)</f>
        <v>0</v>
      </c>
      <c r="BL45" s="6">
        <f>IF($B45='[7]Look Up'!$A$6,$C45*$H45,0)+IF($B45='[7]Look Up'!$A$7,$C45*$H45,0)</f>
        <v>0</v>
      </c>
      <c r="BM45" s="6">
        <f>IF($B45='[7]Look Up'!$A$6,$D45*$H45,0)+IF($B45='[7]Look Up'!$A$7,$D45*$H45,0)</f>
        <v>0</v>
      </c>
      <c r="BN45" s="6">
        <f>IF($B45='[7]Look Up'!$A$6,$E45*$H45,0)+IF($B45='[7]Look Up'!$A$7,$E45*$H45,0)</f>
        <v>0</v>
      </c>
      <c r="BO45" s="6">
        <f>IF($B45='[7]Look Up'!$A$6,$F45*$H45,0)+IF($B45='[7]Look Up'!$A$7,$F45*$H45,0)</f>
        <v>0</v>
      </c>
      <c r="BQ45" s="6">
        <f>$C45*'Study Information &amp; rates'!$B$101*IF('Study Information &amp; rates'!$B$44='Study Information &amp; rates'!$V$12,(SUM($H45:$AP45)*1.287),(SUM($H45:$AP45)))</f>
        <v>0</v>
      </c>
      <c r="BR45" s="6">
        <f>$D45*'Study Information &amp; rates'!$C$101*IF('Study Information &amp; rates'!$B$44='Study Information &amp; rates'!$V$12,(SUM($H45:$AP45)*1.287),(SUM($H45:$AP45)))</f>
        <v>0</v>
      </c>
      <c r="BS45" s="6">
        <f>$E45*'Study Information &amp; rates'!$D$101*IF('Study Information &amp; rates'!$B$44='Study Information &amp; rates'!$V$12,(SUM($H45:$AP45)*1.287),(SUM($H45:$AP45)))</f>
        <v>0</v>
      </c>
      <c r="BT45" s="6">
        <f>$F45*'Study Information &amp; rates'!$F$101*IF('Study Information &amp; rates'!$B$44='Study Information &amp; rates'!$V$12,(SUM($H45:$AP45)*1.287),(SUM($H45:$AP45)))</f>
        <v>0</v>
      </c>
    </row>
    <row r="46" spans="1:72" s="13" customFormat="1">
      <c r="A46" s="8"/>
      <c r="B46" s="8"/>
      <c r="C46" s="181"/>
      <c r="D46" s="181"/>
      <c r="E46" s="181"/>
      <c r="F46" s="181"/>
      <c r="G46" s="532">
        <f>IF(ISERROR((C46*'Study Information &amp; rates'!$B$101+D46*'Study Information &amp; rates'!$C$101+E46*'Study Information &amp; rates'!$D$101+F46*'Study Information &amp; rates'!$F$101)),0,(C46*'Study Information &amp; rates'!$B$101+D46*'Study Information &amp; rates'!$C$101+E46*'Study Information &amp; rates'!$D$101+F46*'Study Information &amp; rates'!$F$101))</f>
        <v>0</v>
      </c>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428"/>
      <c r="AR46" s="440">
        <f>(SUM(H46:AP46))*G46</f>
        <v>0</v>
      </c>
      <c r="AS46" s="440">
        <f>IF('Study Information &amp; rates'!$B$44="Yes",AR46*0.287,0)</f>
        <v>0</v>
      </c>
      <c r="AT46" s="440">
        <f>IF('Study Information &amp; rates'!$B$44="No",0,AR46*0.05)</f>
        <v>0</v>
      </c>
      <c r="AU46" s="440">
        <f>AR46+AS46+AT46</f>
        <v>0</v>
      </c>
      <c r="AV46" s="440">
        <f>'Set-up and other costs'!$B$18*'Per patient Arm 2'!AU46</f>
        <v>0</v>
      </c>
      <c r="BC46" s="2">
        <f>H46*G46</f>
        <v>0</v>
      </c>
      <c r="BD46" s="2">
        <f>IF('Study Information &amp; rates'!$B$44='Study Information &amp; rates'!$V$12,BC46*0.287,0)</f>
        <v>0</v>
      </c>
      <c r="BE46" s="2">
        <f>IF((Reconciliation!$C$5*1.287)&gt;5000,BC46*0.05,0)</f>
        <v>0</v>
      </c>
      <c r="BF46" s="2">
        <f>BC46+BD46+BE46</f>
        <v>0</v>
      </c>
      <c r="BG46" s="6" t="b">
        <f>IF($B46='Look Up'!$A$5,$H46)</f>
        <v>0</v>
      </c>
      <c r="BH46" s="6" t="b">
        <f>IF($B46='Look Up'!$A$6,$H46)</f>
        <v>0</v>
      </c>
      <c r="BI46" s="6"/>
      <c r="BJ46" s="6" t="b">
        <f>IF($B46='Look Up'!$A$7,$H46)</f>
        <v>0</v>
      </c>
      <c r="BL46" s="13">
        <f>IF($B46='[7]Look Up'!$A$6,$C46*$H46,0)+IF($B46='[7]Look Up'!$A$7,$C46*$H46,0)</f>
        <v>0</v>
      </c>
      <c r="BM46" s="13">
        <f>IF($B46='[7]Look Up'!$A$6,$D46*$H46,0)+IF($B46='[7]Look Up'!$A$7,$D46*$H46,0)</f>
        <v>0</v>
      </c>
      <c r="BN46" s="13">
        <f>IF($B46='[7]Look Up'!$A$6,$E46*$H46,0)+IF($B46='[7]Look Up'!$A$7,$E46*$H46,0)</f>
        <v>0</v>
      </c>
      <c r="BO46" s="13">
        <f>IF($B46='[7]Look Up'!$A$6,$F46*$H46,0)+IF($B46='[7]Look Up'!$A$7,$F46*$H46,0)</f>
        <v>0</v>
      </c>
      <c r="BQ46" s="6">
        <f>$C46*'Study Information &amp; rates'!$B$101*IF('Study Information &amp; rates'!$B$44='Study Information &amp; rates'!$V$12,(SUM($H46:$AP46)*1.287),(SUM($H46:$AP46)))</f>
        <v>0</v>
      </c>
      <c r="BR46" s="6">
        <f>$D46*'Study Information &amp; rates'!$C$101*IF('Study Information &amp; rates'!$B$44='Study Information &amp; rates'!$V$12,(SUM($H46:$AP46)*1.287),(SUM($H46:$AP46)))</f>
        <v>0</v>
      </c>
      <c r="BS46" s="6">
        <f>$E46*'Study Information &amp; rates'!$D$101*IF('Study Information &amp; rates'!$B$44='Study Information &amp; rates'!$V$12,(SUM($H46:$AP46)*1.287),(SUM($H46:$AP46)))</f>
        <v>0</v>
      </c>
      <c r="BT46" s="6">
        <f>$F46*'Study Information &amp; rates'!$F$101*IF('Study Information &amp; rates'!$B$44='Study Information &amp; rates'!$V$12,(SUM($H46:$AP46)*1.287),(SUM($H46:$AP46)))</f>
        <v>0</v>
      </c>
    </row>
    <row r="47" spans="1:72">
      <c r="A47" s="15"/>
      <c r="B47" s="15"/>
      <c r="C47" s="18"/>
      <c r="D47" s="18"/>
      <c r="E47" s="18"/>
      <c r="F47" s="18"/>
      <c r="G47" s="507"/>
      <c r="H47" s="508">
        <f>SUM(H8:H46)</f>
        <v>0</v>
      </c>
      <c r="I47" s="508">
        <f>SUM(I8:I46)</f>
        <v>0</v>
      </c>
      <c r="J47" s="508">
        <f>SUM(J8:J46)</f>
        <v>0</v>
      </c>
      <c r="K47" s="508">
        <f>SUM(K8:K46)</f>
        <v>0</v>
      </c>
      <c r="L47" s="508">
        <f>SUM(L8:L46)</f>
        <v>0</v>
      </c>
      <c r="M47" s="508">
        <f>SUM(M8:M46)</f>
        <v>0</v>
      </c>
      <c r="N47" s="508">
        <f>SUM(N8:N46)</f>
        <v>0</v>
      </c>
      <c r="O47" s="508">
        <f>SUM(O8:O46)</f>
        <v>0</v>
      </c>
      <c r="P47" s="508">
        <f>SUM(P8:P46)</f>
        <v>0</v>
      </c>
      <c r="Q47" s="508">
        <f>SUM(Q8:Q46)</f>
        <v>0</v>
      </c>
      <c r="R47" s="508">
        <f>SUM(R8:R46)</f>
        <v>0</v>
      </c>
      <c r="S47" s="508">
        <f>SUM(S8:S46)</f>
        <v>0</v>
      </c>
      <c r="T47" s="508">
        <f>SUM(T8:T46)</f>
        <v>0</v>
      </c>
      <c r="U47" s="508">
        <f>SUM(U8:U46)</f>
        <v>0</v>
      </c>
      <c r="V47" s="508">
        <f>SUM(V8:V46)</f>
        <v>0</v>
      </c>
      <c r="W47" s="508">
        <f>SUM(W8:W46)</f>
        <v>0</v>
      </c>
      <c r="X47" s="508">
        <f>SUM(X8:X46)</f>
        <v>0</v>
      </c>
      <c r="Y47" s="508">
        <f>SUM(Y8:Y46)</f>
        <v>0</v>
      </c>
      <c r="Z47" s="508">
        <f>SUM(Z8:Z46)</f>
        <v>0</v>
      </c>
      <c r="AA47" s="508">
        <f>SUM(AA8:AA46)</f>
        <v>0</v>
      </c>
      <c r="AB47" s="508">
        <f>SUM(AB8:AB46)</f>
        <v>0</v>
      </c>
      <c r="AC47" s="508">
        <f>SUM(AC8:AC46)</f>
        <v>0</v>
      </c>
      <c r="AD47" s="508">
        <f>SUM(AD8:AD46)</f>
        <v>0</v>
      </c>
      <c r="AE47" s="508">
        <f>SUM(AE8:AE46)</f>
        <v>0</v>
      </c>
      <c r="AF47" s="508">
        <f>SUM(AF8:AF46)</f>
        <v>0</v>
      </c>
      <c r="AG47" s="508">
        <f>SUM(AG8:AG46)</f>
        <v>0</v>
      </c>
      <c r="AH47" s="508">
        <f>SUM(AH8:AH46)</f>
        <v>0</v>
      </c>
      <c r="AI47" s="508">
        <f>SUM(AI8:AI46)</f>
        <v>0</v>
      </c>
      <c r="AJ47" s="508">
        <f>SUM(AJ8:AJ46)</f>
        <v>0</v>
      </c>
      <c r="AK47" s="508">
        <f>SUM(AK8:AK46)</f>
        <v>0</v>
      </c>
      <c r="AL47" s="508">
        <f>SUM(AL8:AL46)</f>
        <v>0</v>
      </c>
      <c r="AM47" s="508">
        <f>SUM(AM8:AM46)</f>
        <v>0</v>
      </c>
      <c r="AN47" s="508">
        <f>SUM(AN8:AN46)</f>
        <v>0</v>
      </c>
      <c r="AO47" s="508">
        <f>SUM(AO8:AO46)</f>
        <v>0</v>
      </c>
      <c r="AP47" s="508">
        <f>SUM(AP8:AP46)</f>
        <v>0</v>
      </c>
      <c r="AQ47" s="423"/>
      <c r="AR47" s="509">
        <f>SUM(AR8:AR46)</f>
        <v>0</v>
      </c>
      <c r="AS47" s="440">
        <f>IF('Study Information &amp; rates'!$B$44="Yes",AR47*0.287,0)</f>
        <v>0</v>
      </c>
      <c r="AT47" s="440">
        <f>IF('Study Information &amp; rates'!$B$44="No",0,AR47*0.05)</f>
        <v>0</v>
      </c>
      <c r="AU47" s="440">
        <f>AR47+AS47+AT47</f>
        <v>0</v>
      </c>
      <c r="AV47" s="440">
        <f>'Set-up and other costs'!$B$18*'Per patient Arm 2'!AU47</f>
        <v>0</v>
      </c>
      <c r="AW47" s="238"/>
      <c r="BQ47" s="6">
        <f>$C47*'Study Information &amp; rates'!$B$101*IF('Study Information &amp; rates'!$B$44='Study Information &amp; rates'!$V$12,(SUM($H47:$AP47)*1.287),(SUM($H47:$AP47)))</f>
        <v>0</v>
      </c>
      <c r="BR47" s="6">
        <f>$D47*'Study Information &amp; rates'!$C$101*IF('Study Information &amp; rates'!$B$44='Study Information &amp; rates'!$V$12,(SUM($H47:$AP47)*1.287),(SUM($H47:$AP47)))</f>
        <v>0</v>
      </c>
      <c r="BS47" s="6">
        <f>$E47*'Study Information &amp; rates'!$D$101*IF('Study Information &amp; rates'!$B$44='Study Information &amp; rates'!$V$12,(SUM($H47:$AP47)*1.287),(SUM($H47:$AP47)))</f>
        <v>0</v>
      </c>
      <c r="BT47" s="6">
        <f>$F47*'Study Information &amp; rates'!$F$101*IF('Study Information &amp; rates'!$B$44='Study Information &amp; rates'!$V$12,(SUM($H47:$AP47)*1.287),(SUM($H47:$AP47)))</f>
        <v>0</v>
      </c>
    </row>
    <row r="48" spans="1:58" ht="26">
      <c r="A48" s="15"/>
      <c r="B48" s="15"/>
      <c r="C48" s="18"/>
      <c r="D48" s="18"/>
      <c r="E48" s="18"/>
      <c r="F48" s="18"/>
      <c r="G48" s="439" t="s">
        <v>1970</v>
      </c>
      <c r="H48" s="508">
        <f>SUMPRODUCT($C8:$C46,H8:H46)</f>
        <v>0</v>
      </c>
      <c r="I48" s="508">
        <f>SUMPRODUCT($C8:$C46,I8:I46)</f>
        <v>0</v>
      </c>
      <c r="J48" s="508">
        <f>SUMPRODUCT($C8:$C46,J8:J46)</f>
        <v>0</v>
      </c>
      <c r="K48" s="508">
        <f>SUMPRODUCT($C8:$C46,K8:K46)</f>
        <v>0</v>
      </c>
      <c r="L48" s="508">
        <f>SUMPRODUCT($C8:$C46,L8:L46)</f>
        <v>0</v>
      </c>
      <c r="M48" s="508">
        <f>SUMPRODUCT($C8:$C46,M8:M46)</f>
        <v>0</v>
      </c>
      <c r="N48" s="508">
        <f>SUMPRODUCT($C8:$C46,N8:N46)</f>
        <v>0</v>
      </c>
      <c r="O48" s="508">
        <f>SUMPRODUCT($C8:$C46,O8:O46)</f>
        <v>0</v>
      </c>
      <c r="P48" s="508">
        <f>SUMPRODUCT($C8:$C46,P8:P46)</f>
        <v>0</v>
      </c>
      <c r="Q48" s="508">
        <f>SUMPRODUCT($C8:$C46,Q8:Q46)</f>
        <v>0</v>
      </c>
      <c r="R48" s="508">
        <f>SUMPRODUCT($C8:$C46,R8:R46)</f>
        <v>0</v>
      </c>
      <c r="S48" s="508">
        <f>SUMPRODUCT($C8:$C46,S8:S46)</f>
        <v>0</v>
      </c>
      <c r="T48" s="508">
        <f>SUMPRODUCT($C8:$C46,T8:T46)</f>
        <v>0</v>
      </c>
      <c r="U48" s="508">
        <f>SUMPRODUCT($C8:$C46,U8:U46)</f>
        <v>0</v>
      </c>
      <c r="V48" s="508">
        <f>SUMPRODUCT($C8:$C46,V8:V46)</f>
        <v>0</v>
      </c>
      <c r="W48" s="508">
        <f>SUMPRODUCT($C8:$C46,W8:W46)</f>
        <v>0</v>
      </c>
      <c r="X48" s="508">
        <f>SUMPRODUCT($C8:$C46,X8:X46)</f>
        <v>0</v>
      </c>
      <c r="Y48" s="508">
        <f>SUMPRODUCT($C8:$C46,Y8:Y46)</f>
        <v>0</v>
      </c>
      <c r="Z48" s="508">
        <f>SUMPRODUCT($C8:$C46,Z8:Z46)</f>
        <v>0</v>
      </c>
      <c r="AA48" s="508">
        <f>SUMPRODUCT($C8:$C46,AA8:AA46)</f>
        <v>0</v>
      </c>
      <c r="AB48" s="508">
        <f>SUMPRODUCT($C8:$C46,AB8:AB46)</f>
        <v>0</v>
      </c>
      <c r="AC48" s="508">
        <f>SUMPRODUCT($C8:$C46,AC8:AC46)</f>
        <v>0</v>
      </c>
      <c r="AD48" s="508">
        <f>SUMPRODUCT($C8:$C46,AD8:AD46)</f>
        <v>0</v>
      </c>
      <c r="AE48" s="508">
        <f>SUMPRODUCT($C8:$C46,AE8:AE46)</f>
        <v>0</v>
      </c>
      <c r="AF48" s="508">
        <f>SUMPRODUCT($C8:$C46,AF8:AF46)</f>
        <v>0</v>
      </c>
      <c r="AG48" s="508">
        <f>SUMPRODUCT($C8:$C46,AG8:AG46)</f>
        <v>0</v>
      </c>
      <c r="AH48" s="508">
        <f>SUMPRODUCT($C8:$C46,AH8:AH46)</f>
        <v>0</v>
      </c>
      <c r="AI48" s="508">
        <f>SUMPRODUCT($C8:$C46,AI8:AI46)</f>
        <v>0</v>
      </c>
      <c r="AJ48" s="508">
        <f>SUMPRODUCT($C8:$C46,AJ8:AJ46)</f>
        <v>0</v>
      </c>
      <c r="AK48" s="508">
        <f>SUMPRODUCT($C8:$C46,AK8:AK46)</f>
        <v>0</v>
      </c>
      <c r="AL48" s="508">
        <f>SUMPRODUCT($C8:$C46,AL8:AL46)</f>
        <v>0</v>
      </c>
      <c r="AM48" s="508">
        <f>SUMPRODUCT($C8:$C46,AM8:AM46)</f>
        <v>0</v>
      </c>
      <c r="AN48" s="508">
        <f>SUMPRODUCT($C8:$C46,AN8:AN46)</f>
        <v>0</v>
      </c>
      <c r="AO48" s="508">
        <f>SUMPRODUCT($C8:$C46,AO8:AO46)</f>
        <v>0</v>
      </c>
      <c r="AP48" s="508">
        <f>SUMPRODUCT($C8:$C46,AP8:AP46)</f>
        <v>0</v>
      </c>
      <c r="AQ48" s="429"/>
      <c r="AR48" s="440">
        <f>SUM(H48:AP48)*'Study Information &amp; rates'!B101</f>
        <v>0</v>
      </c>
      <c r="AS48" s="440">
        <f>IF('Study Information &amp; rates'!$B$44="Yes",AR48*0.287,0)</f>
        <v>0</v>
      </c>
      <c r="AT48" s="440">
        <f>IF('Study Information &amp; rates'!$B$44="No",0,AR48*0.05)</f>
        <v>0</v>
      </c>
      <c r="AU48" s="440">
        <f>AR48+AS48+AT48</f>
        <v>0</v>
      </c>
      <c r="AV48" s="440">
        <f>'Set-up and other costs'!$B$18*'Per patient Arm 2'!AU48</f>
        <v>0</v>
      </c>
      <c r="BB48" s="4">
        <f>SUMIF($BH:$BH,1,$C:$C)+SUMIF($BJ:$BJ,1,$C:$C)</f>
        <v>0</v>
      </c>
      <c r="BC48" s="275">
        <f>BB48*'Study Information &amp; rates'!$B$101</f>
        <v>0</v>
      </c>
      <c r="BD48" s="2">
        <f>IF('Study Information &amp; rates'!$B$44='Study Information &amp; rates'!$V$12,BC48*0.287,0)</f>
        <v>0</v>
      </c>
      <c r="BE48" s="2">
        <f>IF(($AR$52*'Study Information &amp; rates'!$B$27)&gt;5000,BC48*0.05,0)</f>
        <v>0</v>
      </c>
      <c r="BF48" s="2">
        <f>BC48+BD48+BE48</f>
        <v>0</v>
      </c>
    </row>
    <row r="49" spans="1:72" ht="26">
      <c r="A49" s="15"/>
      <c r="B49" s="15"/>
      <c r="C49" s="18"/>
      <c r="D49" s="18"/>
      <c r="E49" s="18"/>
      <c r="F49" s="18"/>
      <c r="G49" s="439" t="s">
        <v>1971</v>
      </c>
      <c r="H49" s="508">
        <f>SUMPRODUCT($D8:$D46,H8:H46)</f>
        <v>0</v>
      </c>
      <c r="I49" s="508">
        <f>SUMPRODUCT($D8:$D46,I8:I46)</f>
        <v>0</v>
      </c>
      <c r="J49" s="508">
        <f>SUMPRODUCT($D8:$D46,J8:J46)</f>
        <v>0</v>
      </c>
      <c r="K49" s="508">
        <f>SUMPRODUCT($D8:$D46,K8:K46)</f>
        <v>0</v>
      </c>
      <c r="L49" s="508">
        <f>SUMPRODUCT($D8:$D46,L8:L46)</f>
        <v>0</v>
      </c>
      <c r="M49" s="508">
        <f>SUMPRODUCT($D8:$D46,M8:M46)</f>
        <v>0</v>
      </c>
      <c r="N49" s="508">
        <f>SUMPRODUCT($D8:$D46,N8:N46)</f>
        <v>0</v>
      </c>
      <c r="O49" s="508">
        <f>SUMPRODUCT($D8:$D46,O8:O46)</f>
        <v>0</v>
      </c>
      <c r="P49" s="508">
        <f>SUMPRODUCT($D8:$D46,P8:P46)</f>
        <v>0</v>
      </c>
      <c r="Q49" s="508">
        <f>SUMPRODUCT($D8:$D46,Q8:Q46)</f>
        <v>0</v>
      </c>
      <c r="R49" s="508">
        <f>SUMPRODUCT($D8:$D46,R8:R46)</f>
        <v>0</v>
      </c>
      <c r="S49" s="508">
        <f>SUMPRODUCT($D8:$D46,S8:S46)</f>
        <v>0</v>
      </c>
      <c r="T49" s="508">
        <f>SUMPRODUCT($D8:$D46,T8:T46)</f>
        <v>0</v>
      </c>
      <c r="U49" s="508">
        <f>SUMPRODUCT($D8:$D46,U8:U46)</f>
        <v>0</v>
      </c>
      <c r="V49" s="508">
        <f>SUMPRODUCT($D8:$D46,V8:V46)</f>
        <v>0</v>
      </c>
      <c r="W49" s="508">
        <f>SUMPRODUCT($D8:$D46,W8:W46)</f>
        <v>0</v>
      </c>
      <c r="X49" s="508">
        <f>SUMPRODUCT($D8:$D46,X8:X46)</f>
        <v>0</v>
      </c>
      <c r="Y49" s="508">
        <f>SUMPRODUCT($D8:$D46,Y8:Y46)</f>
        <v>0</v>
      </c>
      <c r="Z49" s="508">
        <f>SUMPRODUCT($D8:$D46,Z8:Z46)</f>
        <v>0</v>
      </c>
      <c r="AA49" s="508">
        <f>SUMPRODUCT($D8:$D46,AA8:AA46)</f>
        <v>0</v>
      </c>
      <c r="AB49" s="508">
        <f>SUMPRODUCT($D8:$D46,AB8:AB46)</f>
        <v>0</v>
      </c>
      <c r="AC49" s="508">
        <f>SUMPRODUCT($D8:$D46,AC8:AC46)</f>
        <v>0</v>
      </c>
      <c r="AD49" s="508">
        <f>SUMPRODUCT($D8:$D46,AD8:AD46)</f>
        <v>0</v>
      </c>
      <c r="AE49" s="508">
        <f>SUMPRODUCT($D8:$D46,AE8:AE46)</f>
        <v>0</v>
      </c>
      <c r="AF49" s="508">
        <f>SUMPRODUCT($D8:$D46,AF8:AF46)</f>
        <v>0</v>
      </c>
      <c r="AG49" s="508">
        <f>SUMPRODUCT($D8:$D46,AG8:AG46)</f>
        <v>0</v>
      </c>
      <c r="AH49" s="508">
        <f>SUMPRODUCT($D8:$D46,AH8:AH46)</f>
        <v>0</v>
      </c>
      <c r="AI49" s="508">
        <f>SUMPRODUCT($D8:$D46,AI8:AI46)</f>
        <v>0</v>
      </c>
      <c r="AJ49" s="508">
        <f>SUMPRODUCT($D8:$D46,AJ8:AJ46)</f>
        <v>0</v>
      </c>
      <c r="AK49" s="508">
        <f>SUMPRODUCT($D8:$D46,AK8:AK46)</f>
        <v>0</v>
      </c>
      <c r="AL49" s="508">
        <f>SUMPRODUCT($D8:$D46,AL8:AL46)</f>
        <v>0</v>
      </c>
      <c r="AM49" s="508">
        <f>SUMPRODUCT($D8:$D46,AM8:AM46)</f>
        <v>0</v>
      </c>
      <c r="AN49" s="508">
        <f>SUMPRODUCT($D8:$D46,AN8:AN46)</f>
        <v>0</v>
      </c>
      <c r="AO49" s="508">
        <f>SUMPRODUCT($D8:$D46,AO8:AO46)</f>
        <v>0</v>
      </c>
      <c r="AP49" s="508">
        <f>SUMPRODUCT($D8:$D46,AP8:AP46)</f>
        <v>0</v>
      </c>
      <c r="AQ49" s="429"/>
      <c r="AR49" s="440">
        <f>SUM(H49:AP49)*'Study Information &amp; rates'!C101</f>
        <v>0</v>
      </c>
      <c r="AS49" s="440">
        <f>IF('Study Information &amp; rates'!$B$44="Yes",AR49*0.287,0)</f>
        <v>0</v>
      </c>
      <c r="AT49" s="440">
        <f>IF('Study Information &amp; rates'!$B$44="No",0,AR49*0.05)</f>
        <v>0</v>
      </c>
      <c r="AU49" s="440">
        <f>AR49+AS49+AT49</f>
        <v>0</v>
      </c>
      <c r="AV49" s="440">
        <f>'Set-up and other costs'!$B$18*'Per patient Arm 2'!AU49</f>
        <v>0</v>
      </c>
      <c r="BB49" s="4">
        <f>SUMIF($BH:$BH,1,$D:$D)+SUMIF($BJ:$BJ,1,$D:$D)</f>
        <v>0</v>
      </c>
      <c r="BC49" s="275">
        <f>BB49*'Study Information &amp; rates'!$C$101</f>
        <v>0</v>
      </c>
      <c r="BD49" s="2">
        <f>IF('Study Information &amp; rates'!$B$44='Study Information &amp; rates'!$V$12,BC49*0.287,0)</f>
        <v>0</v>
      </c>
      <c r="BE49" s="2">
        <f>IF(($AR$52*'Study Information &amp; rates'!$B$27)&gt;5000,BC49*0.05,0)</f>
        <v>0</v>
      </c>
      <c r="BF49" s="2">
        <f>BC49+BD49+BE49</f>
        <v>0</v>
      </c>
      <c r="BQ49" s="6">
        <f>SUM(BQ8:BQ48)</f>
        <v>0</v>
      </c>
      <c r="BR49" s="6">
        <f>SUM(BR8:BR48)</f>
        <v>0</v>
      </c>
      <c r="BS49" s="6">
        <f>SUM(BS8:BS48)</f>
        <v>0</v>
      </c>
      <c r="BT49" s="6">
        <f>SUM(BT8:BT48)</f>
        <v>0</v>
      </c>
    </row>
    <row r="50" spans="1:58" ht="26">
      <c r="A50" s="15"/>
      <c r="B50" s="15"/>
      <c r="C50" s="18"/>
      <c r="D50" s="18"/>
      <c r="E50" s="18"/>
      <c r="F50" s="18"/>
      <c r="G50" s="439" t="s">
        <v>32</v>
      </c>
      <c r="H50" s="508">
        <f>SUMPRODUCT($E$8:$E46,H8:H46)</f>
        <v>0</v>
      </c>
      <c r="I50" s="508">
        <f>SUMPRODUCT($E$8:$E46,I8:I46)</f>
        <v>0</v>
      </c>
      <c r="J50" s="508">
        <f>SUMPRODUCT($E$8:$E46,J8:J46)</f>
        <v>0</v>
      </c>
      <c r="K50" s="508">
        <f>SUMPRODUCT($E$8:$E46,K8:K46)</f>
        <v>0</v>
      </c>
      <c r="L50" s="508">
        <f>SUMPRODUCT($E$8:$E46,L8:L46)</f>
        <v>0</v>
      </c>
      <c r="M50" s="508">
        <f>SUMPRODUCT($E$8:$E46,M8:M46)</f>
        <v>0</v>
      </c>
      <c r="N50" s="508">
        <f>SUMPRODUCT($E$8:$E46,N8:N46)</f>
        <v>0</v>
      </c>
      <c r="O50" s="508">
        <f>SUMPRODUCT($E$8:$E46,O8:O46)</f>
        <v>0</v>
      </c>
      <c r="P50" s="508">
        <f>SUMPRODUCT($E$8:$E46,P8:P46)</f>
        <v>0</v>
      </c>
      <c r="Q50" s="508">
        <f>SUMPRODUCT($E$8:$E46,Q8:Q46)</f>
        <v>0</v>
      </c>
      <c r="R50" s="508">
        <f>SUMPRODUCT($E$8:$E46,R8:R46)</f>
        <v>0</v>
      </c>
      <c r="S50" s="508">
        <f>SUMPRODUCT($E$8:$E46,S8:S46)</f>
        <v>0</v>
      </c>
      <c r="T50" s="508">
        <f>SUMPRODUCT($E$8:$E46,T8:T46)</f>
        <v>0</v>
      </c>
      <c r="U50" s="508">
        <f>SUMPRODUCT($E$8:$E46,U8:U46)</f>
        <v>0</v>
      </c>
      <c r="V50" s="508">
        <f>SUMPRODUCT($E$8:$E46,V8:V46)</f>
        <v>0</v>
      </c>
      <c r="W50" s="508">
        <f>SUMPRODUCT($E$8:$E46,W8:W46)</f>
        <v>0</v>
      </c>
      <c r="X50" s="508">
        <f>SUMPRODUCT($E$8:$E46,X8:X46)</f>
        <v>0</v>
      </c>
      <c r="Y50" s="508">
        <f>SUMPRODUCT($E$8:$E46,Y8:Y46)</f>
        <v>0</v>
      </c>
      <c r="Z50" s="508">
        <f>SUMPRODUCT($E$8:$E46,Z8:Z46)</f>
        <v>0</v>
      </c>
      <c r="AA50" s="508">
        <f>SUMPRODUCT($E$8:$E46,AA8:AA46)</f>
        <v>0</v>
      </c>
      <c r="AB50" s="508">
        <f>SUMPRODUCT($E$8:$E46,AB8:AB46)</f>
        <v>0</v>
      </c>
      <c r="AC50" s="508">
        <f>SUMPRODUCT($E$8:$E46,AC8:AC46)</f>
        <v>0</v>
      </c>
      <c r="AD50" s="508">
        <f>SUMPRODUCT($E$8:$E46,AD8:AD46)</f>
        <v>0</v>
      </c>
      <c r="AE50" s="508">
        <f>SUMPRODUCT($E$8:$E46,AE8:AE46)</f>
        <v>0</v>
      </c>
      <c r="AF50" s="508">
        <f>SUMPRODUCT($E$8:$E46,AF8:AF46)</f>
        <v>0</v>
      </c>
      <c r="AG50" s="508">
        <f>SUMPRODUCT($E$8:$E46,AG8:AG46)</f>
        <v>0</v>
      </c>
      <c r="AH50" s="508">
        <f>SUMPRODUCT($E$8:$E46,AH8:AH46)</f>
        <v>0</v>
      </c>
      <c r="AI50" s="508">
        <f>SUMPRODUCT($E$8:$E46,AI8:AI46)</f>
        <v>0</v>
      </c>
      <c r="AJ50" s="508">
        <f>SUMPRODUCT($E$8:$E46,AJ8:AJ46)</f>
        <v>0</v>
      </c>
      <c r="AK50" s="508">
        <f>SUMPRODUCT($E$8:$E46,AK8:AK46)</f>
        <v>0</v>
      </c>
      <c r="AL50" s="508">
        <f>SUMPRODUCT($E$8:$E46,AL8:AL46)</f>
        <v>0</v>
      </c>
      <c r="AM50" s="508">
        <f>SUMPRODUCT($E$8:$E46,AM8:AM46)</f>
        <v>0</v>
      </c>
      <c r="AN50" s="508">
        <f>SUMPRODUCT($E$8:$E46,AN8:AN46)</f>
        <v>0</v>
      </c>
      <c r="AO50" s="508">
        <f>SUMPRODUCT($E$8:$E46,AO8:AO46)</f>
        <v>0</v>
      </c>
      <c r="AP50" s="508">
        <f>SUMPRODUCT($E$8:$E46,AP8:AP46)</f>
        <v>0</v>
      </c>
      <c r="AQ50" s="429"/>
      <c r="AR50" s="440">
        <f>SUM(H50:AP50)*'Study Information &amp; rates'!D101</f>
        <v>0</v>
      </c>
      <c r="AS50" s="440">
        <f>IF('Study Information &amp; rates'!$B$44="Yes",AR50*0.287,0)</f>
        <v>0</v>
      </c>
      <c r="AT50" s="440">
        <f>IF('Study Information &amp; rates'!$B$44="No",0,AR50*0.05)</f>
        <v>0</v>
      </c>
      <c r="AU50" s="440">
        <f>AR50+AS50+AT50</f>
        <v>0</v>
      </c>
      <c r="AV50" s="440">
        <f>'Set-up and other costs'!$B$18*'Per patient Arm 2'!AU50</f>
        <v>0</v>
      </c>
      <c r="BB50" s="4">
        <f>SUMIF($BH:$BH,1,$E:$E)+SUMIF($BJ:$BJ,1,$E:$E)</f>
        <v>0</v>
      </c>
      <c r="BC50" s="275">
        <f>BB50*'Study Information &amp; rates'!$D$101</f>
        <v>0</v>
      </c>
      <c r="BD50" s="2">
        <f>IF('Study Information &amp; rates'!$B$44='Study Information &amp; rates'!$V$12,BC50*0.287,0)</f>
        <v>0</v>
      </c>
      <c r="BE50" s="2">
        <f>IF(($AR$52*'Study Information &amp; rates'!$B$27)&gt;5000,BC50*0.05,0)</f>
        <v>0</v>
      </c>
      <c r="BF50" s="2">
        <f>BC50+BD50+BE50</f>
        <v>0</v>
      </c>
    </row>
    <row r="51" spans="1:58" ht="26">
      <c r="A51" s="15"/>
      <c r="B51" s="15"/>
      <c r="C51" s="18"/>
      <c r="D51" s="18"/>
      <c r="E51" s="18"/>
      <c r="F51" s="18"/>
      <c r="G51" s="439" t="s">
        <v>46</v>
      </c>
      <c r="H51" s="508">
        <f>SUMPRODUCT($F$8:$F46,H8:H46)</f>
        <v>0</v>
      </c>
      <c r="I51" s="508">
        <f>SUMPRODUCT($F$8:$F46,I8:I46)</f>
        <v>0</v>
      </c>
      <c r="J51" s="508">
        <f>SUMPRODUCT($F$8:$F46,J8:J46)</f>
        <v>0</v>
      </c>
      <c r="K51" s="508">
        <f>SUMPRODUCT($F$8:$F46,K8:K46)</f>
        <v>0</v>
      </c>
      <c r="L51" s="508">
        <f>SUMPRODUCT($F$8:$F46,L8:L46)</f>
        <v>0</v>
      </c>
      <c r="M51" s="508">
        <f>SUMPRODUCT($F$8:$F46,M8:M46)</f>
        <v>0</v>
      </c>
      <c r="N51" s="508">
        <f>SUMPRODUCT($F$8:$F46,N8:N46)</f>
        <v>0</v>
      </c>
      <c r="O51" s="508">
        <f>SUMPRODUCT($F$8:$F46,O8:O46)</f>
        <v>0</v>
      </c>
      <c r="P51" s="508">
        <f>SUMPRODUCT($F$8:$F46,P8:P46)</f>
        <v>0</v>
      </c>
      <c r="Q51" s="508">
        <f>SUMPRODUCT($F$8:$F46,Q8:Q46)</f>
        <v>0</v>
      </c>
      <c r="R51" s="508">
        <f>SUMPRODUCT($F$8:$F46,R8:R46)</f>
        <v>0</v>
      </c>
      <c r="S51" s="508">
        <f>SUMPRODUCT($F$8:$F46,S8:S46)</f>
        <v>0</v>
      </c>
      <c r="T51" s="508">
        <f>SUMPRODUCT($F$8:$F46,T8:T46)</f>
        <v>0</v>
      </c>
      <c r="U51" s="508">
        <f>SUMPRODUCT($F$8:$F46,U8:U46)</f>
        <v>0</v>
      </c>
      <c r="V51" s="508">
        <f>SUMPRODUCT($F$8:$F46,V8:V46)</f>
        <v>0</v>
      </c>
      <c r="W51" s="508">
        <f>SUMPRODUCT($F$8:$F46,W8:W46)</f>
        <v>0</v>
      </c>
      <c r="X51" s="508">
        <f>SUMPRODUCT($F$8:$F46,X8:X46)</f>
        <v>0</v>
      </c>
      <c r="Y51" s="508">
        <f>SUMPRODUCT($F$8:$F46,Y8:Y46)</f>
        <v>0</v>
      </c>
      <c r="Z51" s="508">
        <f>SUMPRODUCT($F$8:$F46,Z8:Z46)</f>
        <v>0</v>
      </c>
      <c r="AA51" s="508">
        <f>SUMPRODUCT($F$8:$F46,AA8:AA46)</f>
        <v>0</v>
      </c>
      <c r="AB51" s="508">
        <f>SUMPRODUCT($F$8:$F46,AB8:AB46)</f>
        <v>0</v>
      </c>
      <c r="AC51" s="508">
        <f>SUMPRODUCT($F$8:$F46,AC8:AC46)</f>
        <v>0</v>
      </c>
      <c r="AD51" s="508">
        <f>SUMPRODUCT($F$8:$F46,AD8:AD46)</f>
        <v>0</v>
      </c>
      <c r="AE51" s="508">
        <f>SUMPRODUCT($F$8:$F46,AE8:AE46)</f>
        <v>0</v>
      </c>
      <c r="AF51" s="508">
        <f>SUMPRODUCT($F$8:$F46,AF8:AF46)</f>
        <v>0</v>
      </c>
      <c r="AG51" s="508">
        <f>SUMPRODUCT($F$8:$F46,AG8:AG46)</f>
        <v>0</v>
      </c>
      <c r="AH51" s="508">
        <f>SUMPRODUCT($F$8:$F46,AH8:AH46)</f>
        <v>0</v>
      </c>
      <c r="AI51" s="508">
        <f>SUMPRODUCT($F$8:$F46,AI8:AI46)</f>
        <v>0</v>
      </c>
      <c r="AJ51" s="508">
        <f>SUMPRODUCT($F$8:$F46,AJ8:AJ46)</f>
        <v>0</v>
      </c>
      <c r="AK51" s="508">
        <f>SUMPRODUCT($F$8:$F46,AK8:AK46)</f>
        <v>0</v>
      </c>
      <c r="AL51" s="508">
        <f>SUMPRODUCT($F$8:$F46,AL8:AL46)</f>
        <v>0</v>
      </c>
      <c r="AM51" s="508">
        <f>SUMPRODUCT($F$8:$F46,AM8:AM46)</f>
        <v>0</v>
      </c>
      <c r="AN51" s="508">
        <f>SUMPRODUCT($F$8:$F46,AN8:AN46)</f>
        <v>0</v>
      </c>
      <c r="AO51" s="508">
        <f>SUMPRODUCT($F$8:$F46,AO8:AO46)</f>
        <v>0</v>
      </c>
      <c r="AP51" s="508">
        <f>SUMPRODUCT($F$8:$F46,AP8:AP46)</f>
        <v>0</v>
      </c>
      <c r="AQ51" s="429"/>
      <c r="AR51" s="440">
        <f>SUM(H51:AP51)*'Study Information &amp; rates'!F101</f>
        <v>0</v>
      </c>
      <c r="AS51" s="440">
        <f>IF('Study Information &amp; rates'!$B$44="Yes",AR51*0.287,0)</f>
        <v>0</v>
      </c>
      <c r="AT51" s="440">
        <f>IF('Study Information &amp; rates'!$B$44="No",0,AR51*0.05)</f>
        <v>0</v>
      </c>
      <c r="AU51" s="440">
        <f>AR51+AS51+AT51</f>
        <v>0</v>
      </c>
      <c r="AV51" s="440">
        <f>'Set-up and other costs'!$B$18*'Per patient Arm 2'!AU51</f>
        <v>0</v>
      </c>
      <c r="AW51" s="13" t="b">
        <f>AR52=AR47</f>
        <v>1</v>
      </c>
      <c r="AX51" s="13" t="b">
        <f>AS52=AS47</f>
        <v>1</v>
      </c>
      <c r="AY51" s="13" t="b">
        <f>AT52=AT47</f>
        <v>1</v>
      </c>
      <c r="AZ51" s="13" t="b">
        <f>AV52=AV47</f>
        <v>1</v>
      </c>
      <c r="BB51" s="4">
        <f>SUMIF($BH:$BH,1,$F:$F)+SUMIF($BJ:$BJ,1,$F:$F)</f>
        <v>0</v>
      </c>
      <c r="BC51" s="275">
        <f>BB51*'Study Information &amp; rates'!$F$101</f>
        <v>0</v>
      </c>
      <c r="BD51" s="2">
        <f>IF('Study Information &amp; rates'!$B$44='Study Information &amp; rates'!$V$12,BC51*0.287,0)</f>
        <v>0</v>
      </c>
      <c r="BE51" s="2">
        <f>IF(($AR$52*'Study Information &amp; rates'!$B$27)&gt;5000,BC51*0.05,0)</f>
        <v>0</v>
      </c>
      <c r="BF51" s="2">
        <f>BC51+BD51+BE51</f>
        <v>0</v>
      </c>
    </row>
    <row r="52" spans="1:48">
      <c r="A52" s="13"/>
      <c r="B52" s="13"/>
      <c r="C52" s="13"/>
      <c r="D52" s="13"/>
      <c r="E52" s="13"/>
      <c r="F52" s="13"/>
      <c r="G52" s="13"/>
      <c r="AQ52" s="454"/>
      <c r="AR52" s="511">
        <f>SUM(AR48:AR51)</f>
        <v>0</v>
      </c>
      <c r="AS52" s="511">
        <f>SUM(AS48:AS51)</f>
        <v>0</v>
      </c>
      <c r="AT52" s="511">
        <f>SUM(AT48:AT51)</f>
        <v>0</v>
      </c>
      <c r="AU52" s="457">
        <f>SUM(AU48:AU51)</f>
        <v>0</v>
      </c>
      <c r="AV52" s="440">
        <f>'Set-up and other costs'!$B$18*'Per patient Arm 2'!AU52</f>
        <v>0</v>
      </c>
    </row>
    <row r="53" spans="1:48" ht="15.5">
      <c r="A53" s="19" t="s">
        <v>22</v>
      </c>
      <c r="B53" s="19"/>
      <c r="C53" s="13"/>
      <c r="D53" s="13"/>
      <c r="E53" s="13"/>
      <c r="F53" s="13"/>
      <c r="G53" s="13"/>
      <c r="AQ53" s="454"/>
      <c r="AR53" s="511">
        <f>AR52-AR47</f>
        <v>0</v>
      </c>
      <c r="AS53" s="510"/>
      <c r="AT53" s="510"/>
      <c r="AU53" s="511">
        <f>AU52-AU47</f>
        <v>0</v>
      </c>
      <c r="AV53" s="511">
        <f>AV52*30</f>
        <v>0</v>
      </c>
    </row>
    <row r="54" spans="1:48">
      <c r="A54" s="16"/>
      <c r="B54" s="16"/>
      <c r="AQ54" s="454"/>
      <c r="AR54" s="510"/>
      <c r="AS54" s="510"/>
      <c r="AT54" s="510"/>
      <c r="AU54" s="510"/>
      <c r="AV54" s="511">
        <f>AV53*2</f>
        <v>0</v>
      </c>
    </row>
    <row r="55" spans="1:48" ht="43.5" customHeight="1">
      <c r="A55" s="446" t="s">
        <v>20</v>
      </c>
      <c r="B55" s="430" t="s">
        <v>2059</v>
      </c>
      <c r="C55" s="465" t="s">
        <v>2024</v>
      </c>
      <c r="D55" s="466"/>
      <c r="E55" s="466"/>
      <c r="F55" s="445"/>
      <c r="G55" s="446" t="s">
        <v>21</v>
      </c>
      <c r="H55" s="430" t="s">
        <v>58</v>
      </c>
      <c r="I55" s="430" t="s">
        <v>2079</v>
      </c>
      <c r="J55" s="430" t="s">
        <v>2080</v>
      </c>
      <c r="K55" s="430" t="s">
        <v>2081</v>
      </c>
      <c r="L55" s="430" t="s">
        <v>2082</v>
      </c>
      <c r="M55" s="430" t="s">
        <v>2083</v>
      </c>
      <c r="N55" s="430" t="s">
        <v>2084</v>
      </c>
      <c r="O55" s="430" t="s">
        <v>2085</v>
      </c>
      <c r="P55" s="430" t="s">
        <v>2086</v>
      </c>
      <c r="Q55" s="430" t="s">
        <v>2087</v>
      </c>
      <c r="R55" s="430" t="s">
        <v>2088</v>
      </c>
      <c r="S55" s="430" t="s">
        <v>2089</v>
      </c>
      <c r="T55" s="430" t="s">
        <v>2090</v>
      </c>
      <c r="U55" s="430" t="s">
        <v>2091</v>
      </c>
      <c r="V55" s="430" t="s">
        <v>2092</v>
      </c>
      <c r="W55" s="430" t="s">
        <v>2093</v>
      </c>
      <c r="X55" s="430" t="s">
        <v>2094</v>
      </c>
      <c r="Y55" s="430" t="s">
        <v>2095</v>
      </c>
      <c r="Z55" s="430" t="s">
        <v>2096</v>
      </c>
      <c r="AA55" s="430" t="s">
        <v>2097</v>
      </c>
      <c r="AB55" s="430" t="s">
        <v>1902</v>
      </c>
      <c r="AC55" s="430" t="s">
        <v>1903</v>
      </c>
      <c r="AD55" s="430" t="s">
        <v>1904</v>
      </c>
      <c r="AE55" s="430" t="s">
        <v>1948</v>
      </c>
      <c r="AF55" s="430" t="s">
        <v>1949</v>
      </c>
      <c r="AG55" s="430" t="s">
        <v>1950</v>
      </c>
      <c r="AH55" s="430" t="s">
        <v>1951</v>
      </c>
      <c r="AI55" s="430" t="s">
        <v>1952</v>
      </c>
      <c r="AJ55" s="430" t="s">
        <v>1953</v>
      </c>
      <c r="AK55" s="430" t="s">
        <v>1954</v>
      </c>
      <c r="AL55" s="430" t="s">
        <v>1955</v>
      </c>
      <c r="AM55" s="430" t="s">
        <v>1956</v>
      </c>
      <c r="AN55" s="430" t="s">
        <v>1957</v>
      </c>
      <c r="AO55" s="430" t="s">
        <v>1958</v>
      </c>
      <c r="AP55" s="430" t="s">
        <v>1959</v>
      </c>
      <c r="AQ55" s="434"/>
      <c r="AR55" s="439" t="s">
        <v>3</v>
      </c>
      <c r="AS55" s="439" t="s">
        <v>5</v>
      </c>
      <c r="AT55" s="439" t="s">
        <v>1852</v>
      </c>
      <c r="AU55" s="439" t="s">
        <v>1854</v>
      </c>
      <c r="AV55" s="439" t="s">
        <v>2252</v>
      </c>
    </row>
    <row r="56" spans="1:67" ht="33" customHeight="1">
      <c r="A56" s="329"/>
      <c r="B56" s="8"/>
      <c r="C56" s="444"/>
      <c r="D56" s="459"/>
      <c r="E56" s="459"/>
      <c r="F56" s="443"/>
      <c r="G56" s="463">
        <v>0</v>
      </c>
      <c r="H56" s="319"/>
      <c r="I56" s="319"/>
      <c r="J56" s="319"/>
      <c r="K56" s="319"/>
      <c r="L56" s="319"/>
      <c r="M56" s="319"/>
      <c r="N56" s="319"/>
      <c r="O56" s="319"/>
      <c r="P56" s="319"/>
      <c r="Q56" s="319"/>
      <c r="R56" s="319"/>
      <c r="S56" s="319"/>
      <c r="T56" s="319"/>
      <c r="U56" s="319"/>
      <c r="V56" s="319"/>
      <c r="W56" s="319"/>
      <c r="X56" s="302"/>
      <c r="Y56" s="302"/>
      <c r="Z56" s="302"/>
      <c r="AA56" s="302"/>
      <c r="AB56" s="302"/>
      <c r="AC56" s="277"/>
      <c r="AD56" s="277"/>
      <c r="AE56" s="277"/>
      <c r="AF56" s="277"/>
      <c r="AG56" s="277"/>
      <c r="AH56" s="277"/>
      <c r="AI56" s="277"/>
      <c r="AJ56" s="277"/>
      <c r="AK56" s="277"/>
      <c r="AL56" s="277"/>
      <c r="AM56" s="277"/>
      <c r="AN56" s="277"/>
      <c r="AO56" s="277"/>
      <c r="AP56" s="277"/>
      <c r="AQ56" s="433"/>
      <c r="AR56" s="440">
        <f>(SUM(H56:AP56))*G56</f>
        <v>0</v>
      </c>
      <c r="AS56" s="440">
        <f>IF('Study Information &amp; rates'!$B$44="Yes",AR56*0.287,0)</f>
        <v>0</v>
      </c>
      <c r="AT56" s="440">
        <f>IF('Study Information &amp; rates'!$B$44="No",0,AR56*0.05)</f>
        <v>0</v>
      </c>
      <c r="AU56" s="440">
        <f>AR56+AS56+AT56</f>
        <v>0</v>
      </c>
      <c r="AV56" s="440">
        <f>'Set-up and other costs'!$B$18*'Per patient Arm 2'!AU56</f>
        <v>0</v>
      </c>
      <c r="BG56" s="6" t="b">
        <f>IF($B56='Look Up'!$A$5,$H56)</f>
        <v>0</v>
      </c>
      <c r="BH56" s="6" t="b">
        <f>IF($B56='Look Up'!$A$6,$H56)</f>
        <v>0</v>
      </c>
      <c r="BI56" s="6" t="b">
        <f>IF($B56='Look Up'!$A$7,$H56)</f>
        <v>0</v>
      </c>
      <c r="BJ56" s="6" t="b">
        <f>IF($B56='Look Up'!$A$7,$H56)</f>
        <v>0</v>
      </c>
      <c r="BO56" s="6" t="str">
        <f>C56&amp;B56</f>
        <v/>
      </c>
    </row>
    <row r="57" spans="1:67" ht="27.75" customHeight="1">
      <c r="A57" s="329"/>
      <c r="B57" s="8"/>
      <c r="C57" s="444"/>
      <c r="D57" s="442"/>
      <c r="E57" s="442"/>
      <c r="F57" s="462"/>
      <c r="G57" s="463">
        <f>IF(ISERROR(VLOOKUP(A57,'Data Sheet Costs'!$A:$C,3,FALSE)),0,VLOOKUP(A57,'Data Sheet Costs'!$A:$C,3,FALSE))</f>
        <v>0</v>
      </c>
      <c r="H57" s="319"/>
      <c r="I57" s="319"/>
      <c r="J57" s="319"/>
      <c r="K57" s="319"/>
      <c r="L57" s="319"/>
      <c r="M57" s="319"/>
      <c r="N57" s="319"/>
      <c r="O57" s="319"/>
      <c r="P57" s="319"/>
      <c r="Q57" s="319"/>
      <c r="R57" s="319"/>
      <c r="S57" s="319"/>
      <c r="T57" s="319"/>
      <c r="U57" s="319"/>
      <c r="V57" s="319"/>
      <c r="W57" s="319"/>
      <c r="X57" s="302"/>
      <c r="Y57" s="302"/>
      <c r="Z57" s="302"/>
      <c r="AA57" s="302"/>
      <c r="AB57" s="302"/>
      <c r="AC57" s="302"/>
      <c r="AD57" s="302"/>
      <c r="AE57" s="302"/>
      <c r="AF57" s="302"/>
      <c r="AG57" s="302"/>
      <c r="AH57" s="302"/>
      <c r="AI57" s="302"/>
      <c r="AJ57" s="302"/>
      <c r="AK57" s="302"/>
      <c r="AL57" s="302"/>
      <c r="AM57" s="302"/>
      <c r="AN57" s="302"/>
      <c r="AO57" s="302"/>
      <c r="AP57" s="302"/>
      <c r="AQ57" s="427"/>
      <c r="AR57" s="440">
        <f>(SUM(H57:AP57))*G57</f>
        <v>0</v>
      </c>
      <c r="AS57" s="440">
        <f>IF('Study Information &amp; rates'!$B$44="Yes",AR57*0.287,0)</f>
        <v>0</v>
      </c>
      <c r="AT57" s="440">
        <f>IF('Study Information &amp; rates'!$B$44="No",0,AR57*0.05)</f>
        <v>0</v>
      </c>
      <c r="AU57" s="440">
        <f>AR57+AS57+AT57</f>
        <v>0</v>
      </c>
      <c r="AV57" s="440">
        <f>'Set-up and other costs'!$B$18*'Per patient Arm 2'!AU57</f>
        <v>0</v>
      </c>
      <c r="BG57" s="6" t="b">
        <f>IF($B57='Look Up'!$A$5,$H57)</f>
        <v>0</v>
      </c>
      <c r="BH57" s="6" t="b">
        <f>IF($B57='Look Up'!$A$6,$H57)</f>
        <v>0</v>
      </c>
      <c r="BI57" s="6" t="b">
        <f>IF($B57='Look Up'!$A$7,$H57)</f>
        <v>0</v>
      </c>
      <c r="BJ57" s="6" t="b">
        <f>IF($B57='Look Up'!$A$7,$H57)</f>
        <v>0</v>
      </c>
      <c r="BO57" s="6" t="str">
        <f>C57&amp;B57</f>
        <v/>
      </c>
    </row>
    <row r="58" spans="1:67" ht="15.5">
      <c r="A58" s="329"/>
      <c r="B58" s="8"/>
      <c r="C58" s="444"/>
      <c r="D58" s="442"/>
      <c r="E58" s="442"/>
      <c r="F58" s="462"/>
      <c r="G58" s="463">
        <f>IF(ISERROR(VLOOKUP(A58,'Data Sheet Costs'!$A:$C,3,FALSE)),0,VLOOKUP(A58,'Data Sheet Costs'!$A:$C,3,FALSE))</f>
        <v>0</v>
      </c>
      <c r="H58" s="319"/>
      <c r="I58" s="319"/>
      <c r="J58" s="319"/>
      <c r="K58" s="319"/>
      <c r="L58" s="319"/>
      <c r="M58" s="319"/>
      <c r="N58" s="319"/>
      <c r="O58" s="319"/>
      <c r="P58" s="319"/>
      <c r="Q58" s="319"/>
      <c r="R58" s="319"/>
      <c r="S58" s="319"/>
      <c r="T58" s="319"/>
      <c r="U58" s="319"/>
      <c r="V58" s="319"/>
      <c r="W58" s="319"/>
      <c r="X58" s="302"/>
      <c r="Y58" s="302"/>
      <c r="Z58" s="302"/>
      <c r="AA58" s="302"/>
      <c r="AB58" s="302"/>
      <c r="AC58" s="302"/>
      <c r="AD58" s="302"/>
      <c r="AE58" s="302"/>
      <c r="AF58" s="302"/>
      <c r="AG58" s="302"/>
      <c r="AH58" s="302"/>
      <c r="AI58" s="302"/>
      <c r="AJ58" s="302"/>
      <c r="AK58" s="302"/>
      <c r="AL58" s="302"/>
      <c r="AM58" s="302"/>
      <c r="AN58" s="302"/>
      <c r="AO58" s="302"/>
      <c r="AP58" s="302"/>
      <c r="AQ58" s="427"/>
      <c r="AR58" s="440">
        <f>(SUM(H58:AP58))*G58</f>
        <v>0</v>
      </c>
      <c r="AS58" s="440">
        <f>IF('Study Information &amp; rates'!$B$44="Yes",AR58*0.287,0)</f>
        <v>0</v>
      </c>
      <c r="AT58" s="440">
        <f>IF('Study Information &amp; rates'!$B$44="No",0,AR58*0.05)</f>
        <v>0</v>
      </c>
      <c r="AU58" s="440">
        <f>AR58+AS58+AT58</f>
        <v>0</v>
      </c>
      <c r="AV58" s="440">
        <f>'Set-up and other costs'!$B$18*'Per patient Arm 2'!AU58</f>
        <v>0</v>
      </c>
      <c r="BG58" s="6" t="b">
        <f>IF($B58='Look Up'!$A$5,$H58)</f>
        <v>0</v>
      </c>
      <c r="BH58" s="6" t="b">
        <f>IF($B58='Look Up'!$A$6,$H58)</f>
        <v>0</v>
      </c>
      <c r="BI58" s="6" t="b">
        <f>IF($B58='Look Up'!$A$7,$H58)</f>
        <v>0</v>
      </c>
      <c r="BJ58" s="6" t="b">
        <f>IF($B58='Look Up'!$A$7,$H58)</f>
        <v>0</v>
      </c>
      <c r="BO58" s="6" t="str">
        <f>C58&amp;B58</f>
        <v/>
      </c>
    </row>
    <row r="59" spans="1:67" ht="15.5">
      <c r="A59" s="329"/>
      <c r="B59" s="8"/>
      <c r="C59" s="444"/>
      <c r="D59" s="442"/>
      <c r="E59" s="442"/>
      <c r="F59" s="462"/>
      <c r="G59" s="463">
        <f>IF(ISERROR(VLOOKUP(A59,'Data Sheet Costs'!$A:$C,3,FALSE)),0,VLOOKUP(A59,'Data Sheet Costs'!$A:$C,3,FALSE))</f>
        <v>0</v>
      </c>
      <c r="H59" s="319"/>
      <c r="I59" s="319"/>
      <c r="J59" s="319"/>
      <c r="K59" s="319"/>
      <c r="L59" s="319"/>
      <c r="M59" s="319"/>
      <c r="N59" s="319"/>
      <c r="O59" s="319"/>
      <c r="P59" s="319"/>
      <c r="Q59" s="319"/>
      <c r="R59" s="319"/>
      <c r="S59" s="319"/>
      <c r="T59" s="319"/>
      <c r="U59" s="319"/>
      <c r="V59" s="319"/>
      <c r="W59" s="319"/>
      <c r="X59" s="302"/>
      <c r="Y59" s="302"/>
      <c r="Z59" s="302"/>
      <c r="AA59" s="302"/>
      <c r="AB59" s="302"/>
      <c r="AC59" s="302"/>
      <c r="AD59" s="302"/>
      <c r="AE59" s="302"/>
      <c r="AF59" s="302"/>
      <c r="AG59" s="302"/>
      <c r="AH59" s="302"/>
      <c r="AI59" s="302"/>
      <c r="AJ59" s="302"/>
      <c r="AK59" s="302"/>
      <c r="AL59" s="302"/>
      <c r="AM59" s="302"/>
      <c r="AN59" s="302"/>
      <c r="AO59" s="302"/>
      <c r="AP59" s="302"/>
      <c r="AQ59" s="427"/>
      <c r="AR59" s="440">
        <f>(SUM(H59:AP59))*G59</f>
        <v>0</v>
      </c>
      <c r="AS59" s="440">
        <f>IF('Study Information &amp; rates'!$B$44="Yes",AR59*0.287,0)</f>
        <v>0</v>
      </c>
      <c r="AT59" s="440">
        <f>IF('Study Information &amp; rates'!$B$44="No",0,AR59*0.05)</f>
        <v>0</v>
      </c>
      <c r="AU59" s="440">
        <f>AR59+AS59+AT59</f>
        <v>0</v>
      </c>
      <c r="AV59" s="440">
        <f>'Set-up and other costs'!$B$18*'Per patient Arm 2'!AU59</f>
        <v>0</v>
      </c>
      <c r="BG59" s="6" t="b">
        <f>IF($B59='Look Up'!$A$5,$H59)</f>
        <v>0</v>
      </c>
      <c r="BH59" s="6" t="b">
        <f>IF($B59='Look Up'!$A$6,$H59)</f>
        <v>0</v>
      </c>
      <c r="BI59" s="6" t="b">
        <f>IF($B59='Look Up'!$A$7,$H59)</f>
        <v>0</v>
      </c>
      <c r="BJ59" s="6" t="b">
        <f>IF($B59='Look Up'!$A$7,$H59)</f>
        <v>0</v>
      </c>
      <c r="BO59" s="6" t="str">
        <f>C59&amp;B59</f>
        <v/>
      </c>
    </row>
    <row r="60" spans="1:67" ht="15.75" customHeight="1">
      <c r="A60" s="329"/>
      <c r="B60" s="8"/>
      <c r="C60" s="444"/>
      <c r="D60" s="442"/>
      <c r="E60" s="442"/>
      <c r="F60" s="462"/>
      <c r="G60" s="463">
        <f>IF(ISERROR(VLOOKUP(A60,'Data Sheet Costs'!$A:$C,3,FALSE)),0,VLOOKUP(A60,'Data Sheet Costs'!$A:$C,3,FALSE))</f>
        <v>0</v>
      </c>
      <c r="H60" s="319"/>
      <c r="I60" s="319"/>
      <c r="J60" s="319"/>
      <c r="K60" s="319"/>
      <c r="L60" s="319"/>
      <c r="M60" s="319"/>
      <c r="N60" s="319"/>
      <c r="O60" s="319"/>
      <c r="P60" s="319"/>
      <c r="Q60" s="319"/>
      <c r="R60" s="319"/>
      <c r="S60" s="319"/>
      <c r="T60" s="319"/>
      <c r="U60" s="319"/>
      <c r="V60" s="319"/>
      <c r="W60" s="319"/>
      <c r="X60" s="302"/>
      <c r="Y60" s="302"/>
      <c r="Z60" s="302"/>
      <c r="AA60" s="302"/>
      <c r="AB60" s="302"/>
      <c r="AC60" s="302"/>
      <c r="AD60" s="302"/>
      <c r="AE60" s="302"/>
      <c r="AF60" s="302"/>
      <c r="AG60" s="302"/>
      <c r="AH60" s="302"/>
      <c r="AI60" s="302"/>
      <c r="AJ60" s="302"/>
      <c r="AK60" s="302"/>
      <c r="AL60" s="302"/>
      <c r="AM60" s="302"/>
      <c r="AN60" s="302"/>
      <c r="AO60" s="302"/>
      <c r="AP60" s="302"/>
      <c r="AQ60" s="427"/>
      <c r="AR60" s="440">
        <f>(SUM(H60:AP60))*G60</f>
        <v>0</v>
      </c>
      <c r="AS60" s="440">
        <f>IF('Study Information &amp; rates'!$B$44="Yes",AR60*0.287,0)</f>
        <v>0</v>
      </c>
      <c r="AT60" s="440">
        <f>IF('Study Information &amp; rates'!$B$44="No",0,AR60*0.05)</f>
        <v>0</v>
      </c>
      <c r="AU60" s="440">
        <f>AR60+AS60+AT60</f>
        <v>0</v>
      </c>
      <c r="AV60" s="440">
        <f>'Set-up and other costs'!$B$18*'Per patient Arm 2'!AU60</f>
        <v>0</v>
      </c>
      <c r="BG60" s="6" t="b">
        <f>IF($B60='Look Up'!$A$5,$H60)</f>
        <v>0</v>
      </c>
      <c r="BH60" s="6" t="b">
        <f>IF($B60='Look Up'!$A$6,$H60)</f>
        <v>0</v>
      </c>
      <c r="BI60" s="6" t="b">
        <f>IF($B60='Look Up'!$A$7,$H60)</f>
        <v>0</v>
      </c>
      <c r="BJ60" s="6" t="b">
        <f>IF($B60='Look Up'!$A$7,$H60)</f>
        <v>0</v>
      </c>
      <c r="BO60" s="6" t="str">
        <f>C60&amp;B60</f>
        <v/>
      </c>
    </row>
    <row r="61" spans="1:67" ht="16.5" customHeight="1">
      <c r="A61" s="329"/>
      <c r="B61" s="8"/>
      <c r="C61" s="444"/>
      <c r="D61" s="442"/>
      <c r="E61" s="442"/>
      <c r="F61" s="462"/>
      <c r="G61" s="463">
        <f>IF(ISERROR(VLOOKUP(A61,'Data Sheet Costs'!$A:$C,3,FALSE)),0,VLOOKUP(A61,'Data Sheet Costs'!$A:$C,3,FALSE))</f>
        <v>0</v>
      </c>
      <c r="H61" s="302"/>
      <c r="I61" s="303"/>
      <c r="J61" s="302"/>
      <c r="K61" s="302"/>
      <c r="L61" s="302"/>
      <c r="M61" s="302"/>
      <c r="N61" s="302"/>
      <c r="O61" s="302"/>
      <c r="P61" s="303"/>
      <c r="Q61" s="302"/>
      <c r="R61" s="303"/>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427"/>
      <c r="AR61" s="440">
        <f>(SUM(H61:AP61))*G61</f>
        <v>0</v>
      </c>
      <c r="AS61" s="440">
        <f>IF('Study Information &amp; rates'!$B$44="Yes",AR61*0.287,0)</f>
        <v>0</v>
      </c>
      <c r="AT61" s="440">
        <f>IF('Study Information &amp; rates'!$B$44="No",0,AR61*0.05)</f>
        <v>0</v>
      </c>
      <c r="AU61" s="440">
        <f>AR61+AS61+AT61</f>
        <v>0</v>
      </c>
      <c r="AV61" s="440">
        <f>'Set-up and other costs'!$B$18*'Per patient Arm 2'!AU61</f>
        <v>0</v>
      </c>
      <c r="BG61" s="6" t="b">
        <f>IF($B61='Look Up'!$A$5,$H61)</f>
        <v>0</v>
      </c>
      <c r="BH61" s="6" t="b">
        <f>IF($B61='Look Up'!$A$6,$H61)</f>
        <v>0</v>
      </c>
      <c r="BI61" s="6" t="b">
        <f>IF($B61='Look Up'!$A$7,$H61)</f>
        <v>0</v>
      </c>
      <c r="BJ61" s="6" t="b">
        <f>IF($B61='Look Up'!$A$7,$H61)</f>
        <v>0</v>
      </c>
      <c r="BO61" s="6" t="str">
        <f>C61&amp;B61</f>
        <v/>
      </c>
    </row>
    <row r="62" spans="1:67" ht="15.75" customHeight="1">
      <c r="A62" s="329"/>
      <c r="B62" s="8"/>
      <c r="C62" s="444"/>
      <c r="D62" s="442"/>
      <c r="E62" s="442"/>
      <c r="F62" s="462"/>
      <c r="G62" s="463">
        <f>IF(ISERROR(VLOOKUP(A62,'Data Sheet Costs'!$A:$C,3,FALSE)),0,VLOOKUP(A62,'Data Sheet Costs'!$A:$C,3,FALSE))</f>
        <v>0</v>
      </c>
      <c r="H62" s="302"/>
      <c r="I62" s="303"/>
      <c r="J62" s="302"/>
      <c r="K62" s="302"/>
      <c r="L62" s="302"/>
      <c r="M62" s="302"/>
      <c r="N62" s="302"/>
      <c r="O62" s="302"/>
      <c r="P62" s="303"/>
      <c r="Q62" s="302"/>
      <c r="R62" s="303"/>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427"/>
      <c r="AR62" s="440">
        <f>(SUM(H62:AP62))*G62</f>
        <v>0</v>
      </c>
      <c r="AS62" s="440">
        <f>IF('Study Information &amp; rates'!$B$44="Yes",AR62*0.287,0)</f>
        <v>0</v>
      </c>
      <c r="AT62" s="440">
        <f>IF('Study Information &amp; rates'!$B$44="No",0,AR62*0.05)</f>
        <v>0</v>
      </c>
      <c r="AU62" s="440">
        <f>AR62+AS62+AT62</f>
        <v>0</v>
      </c>
      <c r="AV62" s="440">
        <f>'Set-up and other costs'!$B$18*'Per patient Arm 2'!AU62</f>
        <v>0</v>
      </c>
      <c r="BG62" s="6" t="b">
        <f>IF($B62='Look Up'!$A$5,$H62)</f>
        <v>0</v>
      </c>
      <c r="BH62" s="6" t="b">
        <f>IF($B62='Look Up'!$A$6,$H62)</f>
        <v>0</v>
      </c>
      <c r="BI62" s="6" t="b">
        <f>IF($B62='Look Up'!$A$7,$H62)</f>
        <v>0</v>
      </c>
      <c r="BJ62" s="6" t="b">
        <f>IF($B62='Look Up'!$A$7,$H62)</f>
        <v>0</v>
      </c>
      <c r="BO62" s="6" t="str">
        <f>C62&amp;B62</f>
        <v/>
      </c>
    </row>
    <row r="63" spans="1:67">
      <c r="A63" s="301"/>
      <c r="B63" s="8"/>
      <c r="C63" s="444"/>
      <c r="D63" s="442"/>
      <c r="E63" s="442"/>
      <c r="F63" s="462"/>
      <c r="G63" s="463">
        <f>IF(ISERROR(VLOOKUP(A63,'Data Sheet Costs'!$A:$C,3,FALSE)),0,VLOOKUP(A63,'Data Sheet Costs'!$A:$C,3,FALSE))</f>
        <v>0</v>
      </c>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427"/>
      <c r="AR63" s="440">
        <f>(SUM(H63:AP63))*G63</f>
        <v>0</v>
      </c>
      <c r="AS63" s="440">
        <f>IF('Study Information &amp; rates'!$B$44="Yes",AR63*0.287,0)</f>
        <v>0</v>
      </c>
      <c r="AT63" s="440">
        <f>IF('Study Information &amp; rates'!$B$44="No",0,AR63*0.05)</f>
        <v>0</v>
      </c>
      <c r="AU63" s="440">
        <f>AR63+AS63+AT63</f>
        <v>0</v>
      </c>
      <c r="AV63" s="440">
        <f>'Set-up and other costs'!$B$18*'Per patient Arm 2'!AU63</f>
        <v>0</v>
      </c>
      <c r="BG63" s="6" t="b">
        <f>IF($B63='Look Up'!$A$5,$H63)</f>
        <v>0</v>
      </c>
      <c r="BH63" s="6" t="b">
        <f>IF($B63='Look Up'!$A$6,$H63)</f>
        <v>0</v>
      </c>
      <c r="BI63" s="6" t="b">
        <f>IF($B63='Look Up'!$A$7,$H63)</f>
        <v>0</v>
      </c>
      <c r="BJ63" s="6" t="b">
        <f>IF($B63='Look Up'!$A$7,$H63)</f>
        <v>0</v>
      </c>
      <c r="BO63" s="6" t="str">
        <f>C63&amp;B63</f>
        <v/>
      </c>
    </row>
    <row r="64" spans="1:67">
      <c r="A64" s="8"/>
      <c r="B64" s="8"/>
      <c r="C64" s="444"/>
      <c r="D64" s="442"/>
      <c r="E64" s="442"/>
      <c r="F64" s="462"/>
      <c r="G64" s="463">
        <f>IF(ISERROR(VLOOKUP(A64,'Data Sheet Costs'!$A:$C,3,FALSE)),0,VLOOKUP(A64,'Data Sheet Costs'!$A:$C,3,FALSE))</f>
        <v>0</v>
      </c>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427"/>
      <c r="AR64" s="440">
        <f>(SUM(H64:AP64))*G64</f>
        <v>0</v>
      </c>
      <c r="AS64" s="440">
        <f>IF('Study Information &amp; rates'!$B$44="Yes",AR64*0.287,0)</f>
        <v>0</v>
      </c>
      <c r="AT64" s="440">
        <f>IF('Study Information &amp; rates'!$B$44="No",0,AR64*0.05)</f>
        <v>0</v>
      </c>
      <c r="AU64" s="440">
        <f>AR64+AS64+AT64</f>
        <v>0</v>
      </c>
      <c r="AV64" s="440">
        <f>'Set-up and other costs'!$B$18*'Per patient Arm 2'!AU64</f>
        <v>0</v>
      </c>
      <c r="BG64" s="6" t="b">
        <f>IF($B64='Look Up'!$A$5,$H64)</f>
        <v>0</v>
      </c>
      <c r="BH64" s="6" t="b">
        <f>IF($B64='Look Up'!$A$6,$H64)</f>
        <v>0</v>
      </c>
      <c r="BI64" s="6" t="b">
        <f>IF($B64='Look Up'!$A$7,$H64)</f>
        <v>0</v>
      </c>
      <c r="BJ64" s="6" t="b">
        <f>IF($B64='Look Up'!$A$7,$H64)</f>
        <v>0</v>
      </c>
      <c r="BO64" s="6" t="str">
        <f>C64&amp;B64</f>
        <v/>
      </c>
    </row>
    <row r="65" spans="1:67" ht="15.75" customHeight="1">
      <c r="A65" s="301"/>
      <c r="B65" s="8"/>
      <c r="C65" s="444"/>
      <c r="D65" s="442"/>
      <c r="E65" s="442"/>
      <c r="F65" s="462"/>
      <c r="G65" s="463">
        <f>IF(ISERROR(VLOOKUP(A65,'Data Sheet Costs'!$A:$C,3,FALSE)),0,VLOOKUP(A65,'Data Sheet Costs'!$A:$C,3,FALSE))</f>
        <v>0</v>
      </c>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427"/>
      <c r="AR65" s="440">
        <f>(SUM(H65:AP65))*G65</f>
        <v>0</v>
      </c>
      <c r="AS65" s="440">
        <f>IF('Study Information &amp; rates'!$B$44="Yes",AR65*0.287,0)</f>
        <v>0</v>
      </c>
      <c r="AT65" s="440">
        <f>IF('Study Information &amp; rates'!$B$44="No",0,AR65*0.05)</f>
        <v>0</v>
      </c>
      <c r="AU65" s="440">
        <f>AR65+AS65+AT65</f>
        <v>0</v>
      </c>
      <c r="AV65" s="440">
        <f>'Set-up and other costs'!$B$18*'Per patient Arm 2'!AU65</f>
        <v>0</v>
      </c>
      <c r="BG65" s="6" t="b">
        <f>IF($B65='Look Up'!$A$5,$H65)</f>
        <v>0</v>
      </c>
      <c r="BH65" s="6" t="b">
        <f>IF($B65='Look Up'!$A$6,$H65)</f>
        <v>0</v>
      </c>
      <c r="BI65" s="6" t="b">
        <f>IF($B65='Look Up'!$A$7,$H65)</f>
        <v>0</v>
      </c>
      <c r="BJ65" s="6" t="b">
        <f>IF($B65='Look Up'!$A$7,$H65)</f>
        <v>0</v>
      </c>
      <c r="BO65" s="6" t="str">
        <f>C65&amp;B65</f>
        <v/>
      </c>
    </row>
    <row r="66" spans="1:67">
      <c r="A66" s="8"/>
      <c r="B66" s="8"/>
      <c r="C66" s="444"/>
      <c r="D66" s="442"/>
      <c r="E66" s="442"/>
      <c r="F66" s="462"/>
      <c r="G66" s="463">
        <f>IF(ISERROR(VLOOKUP(A66,'Data Sheet Costs'!$A:$C,3,FALSE)),0,VLOOKUP(A66,'Data Sheet Costs'!$A:$C,3,FALSE))</f>
        <v>0</v>
      </c>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427"/>
      <c r="AR66" s="440">
        <f>(SUM(H66:AP66))*G66</f>
        <v>0</v>
      </c>
      <c r="AS66" s="440">
        <f>IF('Study Information &amp; rates'!$B$44="Yes",AR66*0.287,0)</f>
        <v>0</v>
      </c>
      <c r="AT66" s="440">
        <f>IF('Study Information &amp; rates'!$B$44="No",0,AR66*0.05)</f>
        <v>0</v>
      </c>
      <c r="AU66" s="440">
        <f>AR66+AS66+AT66</f>
        <v>0</v>
      </c>
      <c r="AV66" s="440">
        <f>'Set-up and other costs'!$B$18*'Per patient Arm 2'!AU66</f>
        <v>0</v>
      </c>
      <c r="BG66" s="6" t="b">
        <f>IF($B66='Look Up'!$A$5,$H66)</f>
        <v>0</v>
      </c>
      <c r="BH66" s="6" t="b">
        <f>IF($B66='Look Up'!$A$6,$H66)</f>
        <v>0</v>
      </c>
      <c r="BI66" s="6" t="b">
        <f>IF($B66='Look Up'!$A$7,$H66)</f>
        <v>0</v>
      </c>
      <c r="BJ66" s="6" t="b">
        <f>IF($B66='Look Up'!$A$7,$H66)</f>
        <v>0</v>
      </c>
      <c r="BO66" s="6" t="str">
        <f>C66&amp;B66</f>
        <v/>
      </c>
    </row>
    <row r="67" spans="1:67">
      <c r="A67" s="8"/>
      <c r="B67" s="8"/>
      <c r="C67" s="444"/>
      <c r="D67" s="442"/>
      <c r="E67" s="442"/>
      <c r="F67" s="462"/>
      <c r="G67" s="463">
        <f>IF(ISERROR(VLOOKUP(A67,'Data Sheet Costs'!$A:$C,3,FALSE)),0,VLOOKUP(A67,'Data Sheet Costs'!$A:$C,3,FALSE))</f>
        <v>0</v>
      </c>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427"/>
      <c r="AR67" s="440">
        <f>(SUM(H67:AP67))*G67</f>
        <v>0</v>
      </c>
      <c r="AS67" s="440">
        <f>IF('Study Information &amp; rates'!$B$44="Yes",AR67*0.287,0)</f>
        <v>0</v>
      </c>
      <c r="AT67" s="440">
        <f>IF('Study Information &amp; rates'!$B$44="No",0,AR67*0.05)</f>
        <v>0</v>
      </c>
      <c r="AU67" s="440">
        <f>AR67+AS67+AT67</f>
        <v>0</v>
      </c>
      <c r="AV67" s="440">
        <f>'Set-up and other costs'!$B$18*'Per patient Arm 2'!AU67</f>
        <v>0</v>
      </c>
      <c r="BG67" s="6" t="b">
        <f>IF($B67='Look Up'!$A$5,$H67)</f>
        <v>0</v>
      </c>
      <c r="BH67" s="6" t="b">
        <f>IF($B67='Look Up'!$A$6,$H67)</f>
        <v>0</v>
      </c>
      <c r="BI67" s="6" t="b">
        <f>IF($B67='Look Up'!$A$7,$H67)</f>
        <v>0</v>
      </c>
      <c r="BJ67" s="6" t="b">
        <f>IF($B67='Look Up'!$A$7,$H67)</f>
        <v>0</v>
      </c>
      <c r="BO67" s="6" t="str">
        <f>C67&amp;B67</f>
        <v/>
      </c>
    </row>
    <row r="68" spans="1:67" ht="15.75" customHeight="1">
      <c r="A68" s="8"/>
      <c r="B68" s="8"/>
      <c r="C68" s="444"/>
      <c r="D68" s="442"/>
      <c r="E68" s="442"/>
      <c r="F68" s="462"/>
      <c r="G68" s="463">
        <f>IF(ISERROR(VLOOKUP(A68,'Data Sheet Costs'!$A:$C,3,FALSE)),0,VLOOKUP(A68,'Data Sheet Costs'!$A:$C,3,FALSE))</f>
        <v>0</v>
      </c>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302"/>
      <c r="AO68" s="302"/>
      <c r="AP68" s="302"/>
      <c r="AQ68" s="427"/>
      <c r="AR68" s="440">
        <f>(SUM(H68:AP68))*G68</f>
        <v>0</v>
      </c>
      <c r="AS68" s="440">
        <f>IF('Study Information &amp; rates'!$B$44="Yes",AR68*0.287,0)</f>
        <v>0</v>
      </c>
      <c r="AT68" s="440">
        <f>IF('Study Information &amp; rates'!$B$44="No",0,AR68*0.05)</f>
        <v>0</v>
      </c>
      <c r="AU68" s="440">
        <f>AR68+AS68+AT68</f>
        <v>0</v>
      </c>
      <c r="AV68" s="440">
        <f>'Set-up and other costs'!$B$18*'Per patient Arm 2'!AU68</f>
        <v>0</v>
      </c>
      <c r="BG68" s="6" t="b">
        <f>IF($B68='Look Up'!$A$5,$H68)</f>
        <v>0</v>
      </c>
      <c r="BH68" s="6" t="b">
        <f>IF($B68='Look Up'!$A$6,$H68)</f>
        <v>0</v>
      </c>
      <c r="BI68" s="6" t="b">
        <f>IF($B68='Look Up'!$A$7,$H68)</f>
        <v>0</v>
      </c>
      <c r="BJ68" s="6" t="b">
        <f>IF($B68='Look Up'!$A$7,$H68)</f>
        <v>0</v>
      </c>
      <c r="BO68" s="6" t="str">
        <f>C68&amp;B68</f>
        <v/>
      </c>
    </row>
    <row r="69" spans="1:67">
      <c r="A69" s="8"/>
      <c r="B69" s="8"/>
      <c r="C69" s="444"/>
      <c r="D69" s="442"/>
      <c r="E69" s="442"/>
      <c r="F69" s="462"/>
      <c r="G69" s="463">
        <f>IF(ISERROR(VLOOKUP(A69,'Data Sheet Costs'!$A:$C,3,FALSE)),0,VLOOKUP(A69,'Data Sheet Costs'!$A:$C,3,FALSE))</f>
        <v>0</v>
      </c>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02"/>
      <c r="AP69" s="302"/>
      <c r="AQ69" s="427"/>
      <c r="AR69" s="440">
        <f>(SUM(H69:AP69))*G69</f>
        <v>0</v>
      </c>
      <c r="AS69" s="440">
        <f>IF('Study Information &amp; rates'!$B$44="Yes",AR69*0.287,0)</f>
        <v>0</v>
      </c>
      <c r="AT69" s="440">
        <f>IF('Study Information &amp; rates'!$B$44="No",0,AR69*0.05)</f>
        <v>0</v>
      </c>
      <c r="AU69" s="440">
        <f>AR69+AS69+AT69</f>
        <v>0</v>
      </c>
      <c r="AV69" s="440">
        <f>'Set-up and other costs'!$B$18*'Per patient Arm 2'!AU69</f>
        <v>0</v>
      </c>
      <c r="BG69" s="6" t="b">
        <f>IF($B69='Look Up'!$A$5,$H69)</f>
        <v>0</v>
      </c>
      <c r="BH69" s="6" t="b">
        <f>IF($B69='Look Up'!$A$6,$H69)</f>
        <v>0</v>
      </c>
      <c r="BI69" s="6" t="b">
        <f>IF($B69='Look Up'!$A$7,$H69)</f>
        <v>0</v>
      </c>
      <c r="BJ69" s="6" t="b">
        <f>IF($B69='Look Up'!$A$7,$H69)</f>
        <v>0</v>
      </c>
      <c r="BO69" s="6" t="str">
        <f>C69&amp;B69</f>
        <v/>
      </c>
    </row>
    <row r="70" spans="1:67">
      <c r="A70" s="8"/>
      <c r="B70" s="8"/>
      <c r="C70" s="444"/>
      <c r="D70" s="442"/>
      <c r="E70" s="442"/>
      <c r="F70" s="462"/>
      <c r="G70" s="463">
        <f>IF(ISERROR(VLOOKUP(A70,'Data Sheet Costs'!$A:$C,3,FALSE)),0,VLOOKUP(A70,'Data Sheet Costs'!$A:$C,3,FALSE))</f>
        <v>0</v>
      </c>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427"/>
      <c r="AR70" s="440">
        <f>(SUM(H70:AP70))*G70</f>
        <v>0</v>
      </c>
      <c r="AS70" s="440">
        <f>IF('Study Information &amp; rates'!$B$44="Yes",AR70*0.287,0)</f>
        <v>0</v>
      </c>
      <c r="AT70" s="440">
        <f>IF('Study Information &amp; rates'!$B$44="No",0,AR70*0.05)</f>
        <v>0</v>
      </c>
      <c r="AU70" s="440">
        <f>AR70+AS70+AT70</f>
        <v>0</v>
      </c>
      <c r="AV70" s="440">
        <f>'Set-up and other costs'!$B$18*'Per patient Arm 2'!AU70</f>
        <v>0</v>
      </c>
      <c r="BG70" s="6" t="b">
        <f>IF($B70='Look Up'!$A$5,$H70)</f>
        <v>0</v>
      </c>
      <c r="BH70" s="6" t="b">
        <f>IF($B70='Look Up'!$A$6,$H70)</f>
        <v>0</v>
      </c>
      <c r="BI70" s="6" t="b">
        <f>IF($B70='Look Up'!$A$7,$H70)</f>
        <v>0</v>
      </c>
      <c r="BJ70" s="6" t="b">
        <f>IF($B70='Look Up'!$A$7,$H70)</f>
        <v>0</v>
      </c>
      <c r="BO70" s="6" t="str">
        <f>C70&amp;B70</f>
        <v/>
      </c>
    </row>
    <row r="71" spans="1:67" ht="15.75" customHeight="1">
      <c r="A71" s="8"/>
      <c r="B71" s="8"/>
      <c r="C71" s="444"/>
      <c r="D71" s="442"/>
      <c r="E71" s="442"/>
      <c r="F71" s="462"/>
      <c r="G71" s="463">
        <f>IF(ISERROR(VLOOKUP(A71,'Data Sheet Costs'!$A:$C,3,FALSE)),0,VLOOKUP(A71,'Data Sheet Costs'!$A:$C,3,FALSE))</f>
        <v>0</v>
      </c>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427"/>
      <c r="AR71" s="440">
        <f>(SUM(H71:AP71))*G71</f>
        <v>0</v>
      </c>
      <c r="AS71" s="440">
        <f>IF('Study Information &amp; rates'!$B$44="Yes",AR71*0.287,0)</f>
        <v>0</v>
      </c>
      <c r="AT71" s="440">
        <f>IF('Study Information &amp; rates'!$B$44="No",0,AR71*0.05)</f>
        <v>0</v>
      </c>
      <c r="AU71" s="440">
        <f>AR71+AS71+AT71</f>
        <v>0</v>
      </c>
      <c r="AV71" s="440">
        <f>'Set-up and other costs'!$B$18*'Per patient Arm 2'!AU71</f>
        <v>0</v>
      </c>
      <c r="BG71" s="6" t="b">
        <f>IF($B71='Look Up'!$A$5,$H71)</f>
        <v>0</v>
      </c>
      <c r="BH71" s="6" t="b">
        <f>IF($B71='Look Up'!$A$6,$H71)</f>
        <v>0</v>
      </c>
      <c r="BI71" s="6" t="b">
        <f>IF($B71='Look Up'!$A$7,$H71)</f>
        <v>0</v>
      </c>
      <c r="BJ71" s="6" t="b">
        <f>IF($B71='Look Up'!$A$7,$H71)</f>
        <v>0</v>
      </c>
      <c r="BO71" s="6" t="str">
        <f>C71&amp;B71</f>
        <v/>
      </c>
    </row>
    <row r="72" spans="1:67">
      <c r="A72" s="8"/>
      <c r="B72" s="8"/>
      <c r="C72" s="444"/>
      <c r="D72" s="442"/>
      <c r="E72" s="442"/>
      <c r="F72" s="462"/>
      <c r="G72" s="463">
        <f>IF(ISERROR(VLOOKUP(A72,'Data Sheet Costs'!$A:$C,3,FALSE)),0,VLOOKUP(A72,'Data Sheet Costs'!$A:$C,3,FALSE))</f>
        <v>0</v>
      </c>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302"/>
      <c r="AP72" s="302"/>
      <c r="AQ72" s="427"/>
      <c r="AR72" s="440">
        <f>(SUM(H72:AP72))*G72</f>
        <v>0</v>
      </c>
      <c r="AS72" s="440">
        <f>IF('Study Information &amp; rates'!$B$44="Yes",AR72*0.287,0)</f>
        <v>0</v>
      </c>
      <c r="AT72" s="440">
        <f>IF('Study Information &amp; rates'!$B$44="No",0,AR72*0.05)</f>
        <v>0</v>
      </c>
      <c r="AU72" s="440">
        <f>AR72+AS72+AT72</f>
        <v>0</v>
      </c>
      <c r="AV72" s="440">
        <f>'Set-up and other costs'!$B$18*'Per patient Arm 2'!AU72</f>
        <v>0</v>
      </c>
      <c r="BG72" s="6" t="b">
        <f>IF($B72='Look Up'!$A$5,$H72)</f>
        <v>0</v>
      </c>
      <c r="BH72" s="6" t="b">
        <f>IF($B72='Look Up'!$A$6,$H72)</f>
        <v>0</v>
      </c>
      <c r="BI72" s="6" t="b">
        <f>IF($B72='Look Up'!$A$7,$H72)</f>
        <v>0</v>
      </c>
      <c r="BJ72" s="6" t="b">
        <f>IF($B72='Look Up'!$A$7,$H72)</f>
        <v>0</v>
      </c>
      <c r="BO72" s="6" t="str">
        <f>C72&amp;B72</f>
        <v/>
      </c>
    </row>
    <row r="73" spans="1:67">
      <c r="A73" s="8"/>
      <c r="B73" s="8"/>
      <c r="C73" s="444"/>
      <c r="D73" s="442"/>
      <c r="E73" s="442"/>
      <c r="F73" s="462"/>
      <c r="G73" s="463">
        <f>IF(ISERROR(VLOOKUP(A73,'Data Sheet Costs'!$A:$C,3,FALSE)),0,VLOOKUP(A73,'Data Sheet Costs'!$A:$C,3,FALSE))</f>
        <v>0</v>
      </c>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302"/>
      <c r="AP73" s="302"/>
      <c r="AQ73" s="427"/>
      <c r="AR73" s="440">
        <f>(SUM(H73:AP73))*G73</f>
        <v>0</v>
      </c>
      <c r="AS73" s="440">
        <f>IF('Study Information &amp; rates'!$B$44="Yes",AR73*0.287,0)</f>
        <v>0</v>
      </c>
      <c r="AT73" s="440">
        <f>IF('Study Information &amp; rates'!$B$44="No",0,AR73*0.05)</f>
        <v>0</v>
      </c>
      <c r="AU73" s="440">
        <f>AR73+AS73+AT73</f>
        <v>0</v>
      </c>
      <c r="AV73" s="440">
        <f>'Set-up and other costs'!$B$18*'Per patient Arm 2'!AU73</f>
        <v>0</v>
      </c>
      <c r="BG73" s="6" t="b">
        <f>IF($B73='Look Up'!$A$5,$H73)</f>
        <v>0</v>
      </c>
      <c r="BH73" s="6" t="b">
        <f>IF($B73='Look Up'!$A$6,$H73)</f>
        <v>0</v>
      </c>
      <c r="BI73" s="6" t="b">
        <f>IF($B73='Look Up'!$A$7,$H73)</f>
        <v>0</v>
      </c>
      <c r="BJ73" s="6" t="b">
        <f>IF($B73='Look Up'!$A$7,$H73)</f>
        <v>0</v>
      </c>
      <c r="BO73" s="6" t="str">
        <f>C73&amp;B73</f>
        <v/>
      </c>
    </row>
    <row r="74" spans="1:67" ht="15.75" customHeight="1">
      <c r="A74" s="8"/>
      <c r="B74" s="8"/>
      <c r="C74" s="444"/>
      <c r="D74" s="442"/>
      <c r="E74" s="442"/>
      <c r="F74" s="462"/>
      <c r="G74" s="463">
        <f>IF(ISERROR(VLOOKUP(A74,'Data Sheet Costs'!$A:$C,3,FALSE)),0,VLOOKUP(A74,'Data Sheet Costs'!$A:$C,3,FALSE))</f>
        <v>0</v>
      </c>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427"/>
      <c r="AR74" s="440">
        <f>(SUM(H74:AP74))*G74</f>
        <v>0</v>
      </c>
      <c r="AS74" s="440">
        <f>IF('Study Information &amp; rates'!$B$44="Yes",AR74*0.287,0)</f>
        <v>0</v>
      </c>
      <c r="AT74" s="440">
        <f>IF('Study Information &amp; rates'!$B$44="No",0,AR74*0.05)</f>
        <v>0</v>
      </c>
      <c r="AU74" s="440">
        <f>AR74+AS74+AT74</f>
        <v>0</v>
      </c>
      <c r="AV74" s="440">
        <f>'Set-up and other costs'!$B$18*'Per patient Arm 2'!AU74</f>
        <v>0</v>
      </c>
      <c r="BG74" s="6" t="b">
        <f>IF($B74='Look Up'!$A$5,$H74)</f>
        <v>0</v>
      </c>
      <c r="BH74" s="6" t="b">
        <f>IF($B74='Look Up'!$A$6,$H74)</f>
        <v>0</v>
      </c>
      <c r="BI74" s="6" t="b">
        <f>IF($B74='Look Up'!$A$7,$H74)</f>
        <v>0</v>
      </c>
      <c r="BJ74" s="6" t="b">
        <f>IF($B74='Look Up'!$A$7,$H74)</f>
        <v>0</v>
      </c>
      <c r="BO74" s="6" t="str">
        <f>C74&amp;B74</f>
        <v/>
      </c>
    </row>
    <row r="75" spans="1:67">
      <c r="A75" s="8"/>
      <c r="B75" s="8"/>
      <c r="C75" s="444"/>
      <c r="D75" s="442"/>
      <c r="E75" s="442"/>
      <c r="F75" s="462"/>
      <c r="G75" s="463">
        <f>IF(ISERROR(VLOOKUP(A75,'Data Sheet Costs'!$A:$C,3,FALSE)),0,VLOOKUP(A75,'Data Sheet Costs'!$A:$C,3,FALSE))</f>
        <v>0</v>
      </c>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427"/>
      <c r="AR75" s="440">
        <f>(SUM(H75:AP75))*G75</f>
        <v>0</v>
      </c>
      <c r="AS75" s="440">
        <f>IF('Study Information &amp; rates'!$B$44="Yes",AR75*0.287,0)</f>
        <v>0</v>
      </c>
      <c r="AT75" s="440">
        <f>IF('Study Information &amp; rates'!$B$44="No",0,AR75*0.05)</f>
        <v>0</v>
      </c>
      <c r="AU75" s="440">
        <f>AR75+AS75+AT75</f>
        <v>0</v>
      </c>
      <c r="AV75" s="440">
        <f>'Set-up and other costs'!$B$18*'Per patient Arm 2'!AU75</f>
        <v>0</v>
      </c>
      <c r="BG75" s="6" t="b">
        <f>IF($B75='Look Up'!$A$5,$H75)</f>
        <v>0</v>
      </c>
      <c r="BH75" s="6" t="b">
        <f>IF($B75='Look Up'!$A$6,$H75)</f>
        <v>0</v>
      </c>
      <c r="BI75" s="6" t="b">
        <f>IF($B75='Look Up'!$A$7,$H75)</f>
        <v>0</v>
      </c>
      <c r="BJ75" s="6" t="b">
        <f>IF($B75='Look Up'!$A$7,$H75)</f>
        <v>0</v>
      </c>
      <c r="BO75" s="6" t="str">
        <f>C75&amp;B75</f>
        <v/>
      </c>
    </row>
    <row r="76" spans="1:67">
      <c r="A76" s="8"/>
      <c r="B76" s="8"/>
      <c r="C76" s="444"/>
      <c r="D76" s="442"/>
      <c r="E76" s="442"/>
      <c r="F76" s="462"/>
      <c r="G76" s="463">
        <f>IF(ISERROR(VLOOKUP(A76,'Data Sheet Costs'!$A:$C,3,FALSE)),0,VLOOKUP(A76,'Data Sheet Costs'!$A:$C,3,FALSE))</f>
        <v>0</v>
      </c>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427"/>
      <c r="AR76" s="440">
        <f>(SUM(H76:AP76))*G76</f>
        <v>0</v>
      </c>
      <c r="AS76" s="440">
        <f>IF('Study Information &amp; rates'!$B$44="Yes",AR76*0.287,0)</f>
        <v>0</v>
      </c>
      <c r="AT76" s="440">
        <f>IF('Study Information &amp; rates'!$B$44="No",0,AR76*0.05)</f>
        <v>0</v>
      </c>
      <c r="AU76" s="440">
        <f>AR76+AS76+AT76</f>
        <v>0</v>
      </c>
      <c r="AV76" s="440">
        <f>'Set-up and other costs'!$B$18*'Per patient Arm 2'!AU76</f>
        <v>0</v>
      </c>
      <c r="BG76" s="6" t="b">
        <f>IF($B76='Look Up'!$A$5,$H76)</f>
        <v>0</v>
      </c>
      <c r="BH76" s="6" t="b">
        <f>IF($B76='Look Up'!$A$6,$H76)</f>
        <v>0</v>
      </c>
      <c r="BI76" s="6" t="b">
        <f>IF($B76='Look Up'!$A$7,$H76)</f>
        <v>0</v>
      </c>
      <c r="BJ76" s="6" t="b">
        <f>IF($B76='Look Up'!$A$7,$H76)</f>
        <v>0</v>
      </c>
      <c r="BO76" s="6" t="str">
        <f>C76&amp;B76</f>
        <v/>
      </c>
    </row>
    <row r="77" spans="1:67" ht="15.75" customHeight="1">
      <c r="A77" s="8"/>
      <c r="B77" s="8"/>
      <c r="C77" s="444"/>
      <c r="D77" s="442"/>
      <c r="E77" s="442"/>
      <c r="F77" s="462"/>
      <c r="G77" s="463">
        <f>IF(ISERROR(VLOOKUP(A77,'Data Sheet Costs'!$A:$C,3,FALSE)),0,VLOOKUP(A77,'Data Sheet Costs'!$A:$C,3,FALSE))</f>
        <v>0</v>
      </c>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427"/>
      <c r="AR77" s="440">
        <f>(SUM(H77:AP77))*G77</f>
        <v>0</v>
      </c>
      <c r="AS77" s="440">
        <f>IF('Study Information &amp; rates'!$B$44="Yes",AR77*0.287,0)</f>
        <v>0</v>
      </c>
      <c r="AT77" s="440">
        <f>IF('Study Information &amp; rates'!$B$44="No",0,AR77*0.05)</f>
        <v>0</v>
      </c>
      <c r="AU77" s="440">
        <f>AR77+AS77+AT77</f>
        <v>0</v>
      </c>
      <c r="AV77" s="440">
        <f>'Set-up and other costs'!$B$18*'Per patient Arm 2'!AU77</f>
        <v>0</v>
      </c>
      <c r="BG77" s="6" t="b">
        <f>IF($B77='Look Up'!$A$5,$H77)</f>
        <v>0</v>
      </c>
      <c r="BH77" s="6" t="b">
        <f>IF($B77='Look Up'!$A$6,$H77)</f>
        <v>0</v>
      </c>
      <c r="BI77" s="6" t="b">
        <f>IF($B77='Look Up'!$A$7,$H77)</f>
        <v>0</v>
      </c>
      <c r="BJ77" s="6" t="b">
        <f>IF($B77='Look Up'!$A$7,$H77)</f>
        <v>0</v>
      </c>
      <c r="BO77" s="6" t="str">
        <f>C77&amp;B77</f>
        <v/>
      </c>
    </row>
    <row r="78" spans="1:67">
      <c r="A78" s="8"/>
      <c r="B78" s="8"/>
      <c r="C78" s="444"/>
      <c r="D78" s="442"/>
      <c r="E78" s="442"/>
      <c r="F78" s="462"/>
      <c r="G78" s="463">
        <f>IF(ISERROR(VLOOKUP(A78,'Data Sheet Costs'!$A:$C,3,FALSE)),0,VLOOKUP(A78,'Data Sheet Costs'!$A:$C,3,FALSE))</f>
        <v>0</v>
      </c>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427"/>
      <c r="AR78" s="440">
        <f>(SUM(H78:AP78))*G78</f>
        <v>0</v>
      </c>
      <c r="AS78" s="440">
        <f>IF('Study Information &amp; rates'!$B$44="Yes",AR78*0.287,0)</f>
        <v>0</v>
      </c>
      <c r="AT78" s="440">
        <f>IF('Study Information &amp; rates'!$B$44="No",0,AR78*0.05)</f>
        <v>0</v>
      </c>
      <c r="AU78" s="440">
        <f>AR78+AS78+AT78</f>
        <v>0</v>
      </c>
      <c r="AV78" s="440">
        <f>'Set-up and other costs'!$B$18*'Per patient Arm 2'!AU78</f>
        <v>0</v>
      </c>
      <c r="BG78" s="6" t="b">
        <f>IF($B78='Look Up'!$A$5,$H78)</f>
        <v>0</v>
      </c>
      <c r="BH78" s="6" t="b">
        <f>IF($B78='Look Up'!$A$6,$H78)</f>
        <v>0</v>
      </c>
      <c r="BI78" s="6" t="b">
        <f>IF($B78='Look Up'!$A$7,$H78)</f>
        <v>0</v>
      </c>
      <c r="BJ78" s="6" t="b">
        <f>IF($B78='Look Up'!$A$7,$H78)</f>
        <v>0</v>
      </c>
      <c r="BO78" s="6" t="str">
        <f>C78&amp;B78</f>
        <v/>
      </c>
    </row>
    <row r="79" spans="1:67">
      <c r="A79" s="8"/>
      <c r="B79" s="8"/>
      <c r="C79" s="444"/>
      <c r="D79" s="442"/>
      <c r="E79" s="442"/>
      <c r="F79" s="462"/>
      <c r="G79" s="463">
        <f>IF(ISERROR(VLOOKUP(A79,'Data Sheet Costs'!$A:$C,3,FALSE)),0,VLOOKUP(A79,'Data Sheet Costs'!$A:$C,3,FALSE))</f>
        <v>0</v>
      </c>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427"/>
      <c r="AR79" s="440">
        <f>(SUM(H79:AP79))*G79</f>
        <v>0</v>
      </c>
      <c r="AS79" s="440">
        <f>IF('Study Information &amp; rates'!$B$44="Yes",AR79*0.287,0)</f>
        <v>0</v>
      </c>
      <c r="AT79" s="440">
        <f>IF('Study Information &amp; rates'!$B$44="No",0,AR79*0.05)</f>
        <v>0</v>
      </c>
      <c r="AU79" s="440">
        <f>AR79+AS79+AT79</f>
        <v>0</v>
      </c>
      <c r="AV79" s="440">
        <f>'Set-up and other costs'!$B$18*'Per patient Arm 2'!AU79</f>
        <v>0</v>
      </c>
      <c r="BG79" s="6" t="b">
        <f>IF($B79='Look Up'!$A$5,$H79)</f>
        <v>0</v>
      </c>
      <c r="BH79" s="6" t="b">
        <f>IF($B79='Look Up'!$A$6,$H79)</f>
        <v>0</v>
      </c>
      <c r="BI79" s="6" t="b">
        <f>IF($B79='Look Up'!$A$7,$H79)</f>
        <v>0</v>
      </c>
      <c r="BJ79" s="6" t="b">
        <f>IF($B79='Look Up'!$A$7,$H79)</f>
        <v>0</v>
      </c>
      <c r="BO79" s="6" t="str">
        <f>C79&amp;B79</f>
        <v/>
      </c>
    </row>
    <row r="80" spans="1:67" ht="15.75" customHeight="1">
      <c r="A80" s="8"/>
      <c r="B80" s="8"/>
      <c r="C80" s="444"/>
      <c r="D80" s="442"/>
      <c r="E80" s="442"/>
      <c r="F80" s="462"/>
      <c r="G80" s="463">
        <f>IF(ISERROR(VLOOKUP(A80,'Data Sheet Costs'!$A:$C,3,FALSE)),0,VLOOKUP(A80,'Data Sheet Costs'!$A:$C,3,FALSE))</f>
        <v>0</v>
      </c>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427"/>
      <c r="AR80" s="440">
        <f>(SUM(H80:AP80))*G80</f>
        <v>0</v>
      </c>
      <c r="AS80" s="440">
        <f>IF('Study Information &amp; rates'!$B$44="Yes",AR80*0.287,0)</f>
        <v>0</v>
      </c>
      <c r="AT80" s="440">
        <f>IF('Study Information &amp; rates'!$B$44="No",0,AR80*0.05)</f>
        <v>0</v>
      </c>
      <c r="AU80" s="440">
        <f>AR80+AS80+AT80</f>
        <v>0</v>
      </c>
      <c r="AV80" s="440">
        <f>'Set-up and other costs'!$B$18*'Per patient Arm 2'!AU80</f>
        <v>0</v>
      </c>
      <c r="BG80" s="6" t="b">
        <f>IF($B80='Look Up'!$A$5,$H80)</f>
        <v>0</v>
      </c>
      <c r="BH80" s="6" t="b">
        <f>IF($B80='Look Up'!$A$6,$H80)</f>
        <v>0</v>
      </c>
      <c r="BI80" s="6" t="b">
        <f>IF($B80='Look Up'!$A$7,$H80)</f>
        <v>0</v>
      </c>
      <c r="BJ80" s="6" t="b">
        <f>IF($B80='Look Up'!$A$7,$H80)</f>
        <v>0</v>
      </c>
      <c r="BO80" s="6" t="str">
        <f>C80&amp;B80</f>
        <v/>
      </c>
    </row>
    <row r="81" spans="1:67" ht="15" customHeight="1">
      <c r="A81" s="8"/>
      <c r="B81" s="8"/>
      <c r="C81" s="444"/>
      <c r="D81" s="460"/>
      <c r="E81" s="460"/>
      <c r="F81" s="461"/>
      <c r="G81" s="463">
        <f>IF(ISERROR(VLOOKUP(A81,'Data Sheet Costs'!$A:$C,3,FALSE)),0,VLOOKUP(A81,'Data Sheet Costs'!$A:$C,3,FALSE))</f>
        <v>0</v>
      </c>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c r="AP81" s="302"/>
      <c r="AQ81" s="427"/>
      <c r="AR81" s="440">
        <f>(SUM(H81:AP81))*G81</f>
        <v>0</v>
      </c>
      <c r="AS81" s="440">
        <f>IF('Study Information &amp; rates'!$B$44="Yes",AR81*0.287,0)</f>
        <v>0</v>
      </c>
      <c r="AT81" s="440">
        <f>IF('Study Information &amp; rates'!$B$44="No",0,AR81*0.05)</f>
        <v>0</v>
      </c>
      <c r="AU81" s="440">
        <f>AR81+AS81+AT81</f>
        <v>0</v>
      </c>
      <c r="AV81" s="440">
        <f>'Set-up and other costs'!$B$18*'Per patient Arm 2'!AU81</f>
        <v>0</v>
      </c>
      <c r="BG81" s="6" t="b">
        <f>IF($B81='Look Up'!$A$5,$H81)</f>
        <v>0</v>
      </c>
      <c r="BH81" s="6" t="b">
        <f>IF($B81='Look Up'!$A$6,$H81)</f>
        <v>0</v>
      </c>
      <c r="BI81" s="6" t="b">
        <f>IF($B81='Look Up'!$A$7,$H81)</f>
        <v>0</v>
      </c>
      <c r="BJ81" s="6" t="b">
        <f>IF($B81='Look Up'!$A$7,$H81)</f>
        <v>0</v>
      </c>
      <c r="BO81" s="6" t="str">
        <f>C81&amp;B81</f>
        <v/>
      </c>
    </row>
    <row r="82" spans="8:48">
      <c r="H82" s="4">
        <f>SUM(H56:H81)</f>
        <v>0</v>
      </c>
      <c r="I82" s="4">
        <f>SUM(I56:I81)</f>
        <v>0</v>
      </c>
      <c r="J82" s="4">
        <f>SUM(J56:J81)</f>
        <v>0</v>
      </c>
      <c r="K82" s="4">
        <f>SUM(K56:K81)</f>
        <v>0</v>
      </c>
      <c r="L82" s="4">
        <f>SUM(L56:L81)</f>
        <v>0</v>
      </c>
      <c r="M82" s="4">
        <f>SUM(M56:M81)</f>
        <v>0</v>
      </c>
      <c r="N82" s="4">
        <f>SUM(N56:N81)</f>
        <v>0</v>
      </c>
      <c r="O82" s="4">
        <f>SUM(O56:O81)</f>
        <v>0</v>
      </c>
      <c r="P82" s="4">
        <f>SUM(P56:P81)</f>
        <v>0</v>
      </c>
      <c r="Q82" s="4">
        <f>SUM(Q56:Q81)</f>
        <v>0</v>
      </c>
      <c r="R82" s="4">
        <f>SUM(R56:R81)</f>
        <v>0</v>
      </c>
      <c r="S82" s="4">
        <f>SUM(S56:S81)</f>
        <v>0</v>
      </c>
      <c r="T82" s="4">
        <f>SUM(T56:T81)</f>
        <v>0</v>
      </c>
      <c r="U82" s="4">
        <f>SUM(U56:U81)</f>
        <v>0</v>
      </c>
      <c r="V82" s="4">
        <f>SUM(V56:V81)</f>
        <v>0</v>
      </c>
      <c r="W82" s="4">
        <f>SUM(W56:W81)</f>
        <v>0</v>
      </c>
      <c r="X82" s="4">
        <f>SUM(X56:X81)</f>
        <v>0</v>
      </c>
      <c r="Y82" s="4">
        <f>SUM(Y56:Y81)</f>
        <v>0</v>
      </c>
      <c r="Z82" s="4">
        <f>SUM(Z56:Z81)</f>
        <v>0</v>
      </c>
      <c r="AA82" s="4">
        <f>SUM(AA56:AA81)</f>
        <v>0</v>
      </c>
      <c r="AB82" s="4">
        <f>SUM(AB56:AB81)</f>
        <v>0</v>
      </c>
      <c r="AC82" s="4">
        <f>SUM(AC56:AC81)</f>
        <v>0</v>
      </c>
      <c r="AD82" s="4">
        <f>SUM(AD56:AD81)</f>
        <v>0</v>
      </c>
      <c r="AE82" s="4">
        <f>SUM(AE56:AE81)</f>
        <v>0</v>
      </c>
      <c r="AF82" s="4">
        <f>SUM(AF56:AF81)</f>
        <v>0</v>
      </c>
      <c r="AG82" s="4">
        <f>SUM(AG56:AG81)</f>
        <v>0</v>
      </c>
      <c r="AH82" s="4">
        <f>SUM(AH56:AH81)</f>
        <v>0</v>
      </c>
      <c r="AI82" s="4">
        <f>SUM(AI56:AI81)</f>
        <v>0</v>
      </c>
      <c r="AJ82" s="4">
        <f>SUM(AJ56:AJ81)</f>
        <v>0</v>
      </c>
      <c r="AK82" s="4">
        <f>SUM(AK56:AK81)</f>
        <v>0</v>
      </c>
      <c r="AL82" s="4">
        <f>SUM(AL56:AL81)</f>
        <v>0</v>
      </c>
      <c r="AM82" s="4">
        <f>SUM(AM56:AM81)</f>
        <v>0</v>
      </c>
      <c r="AN82" s="4">
        <f>SUM(AN56:AN81)</f>
        <v>0</v>
      </c>
      <c r="AO82" s="4">
        <f>SUM(AO56:AO81)</f>
        <v>0</v>
      </c>
      <c r="AP82" s="4">
        <f>SUM(AP56:AP81)</f>
        <v>0</v>
      </c>
      <c r="AQ82" s="474"/>
      <c r="AR82" s="440">
        <f>SUM(AR56:AR81)</f>
        <v>0</v>
      </c>
      <c r="AS82" s="440">
        <f>SUM(AS56:AS81)</f>
        <v>0</v>
      </c>
      <c r="AT82" s="440">
        <f>SUM(AT56:AT81)</f>
        <v>0</v>
      </c>
      <c r="AU82" s="440">
        <f>SUM(AU56:AU81)</f>
        <v>0</v>
      </c>
      <c r="AV82" s="440">
        <f>'Set-up and other costs'!$B$18*'Per patient Arm 2'!AU82</f>
        <v>0</v>
      </c>
    </row>
    <row r="83" spans="44:48">
      <c r="AR83" s="510"/>
      <c r="AS83" s="510"/>
      <c r="AT83" s="510"/>
      <c r="AU83" s="510"/>
      <c r="AV83" s="510"/>
    </row>
    <row r="84" spans="44:48" ht="13.5" thickBot="1">
      <c r="AR84" s="510" t="s">
        <v>50</v>
      </c>
      <c r="AS84" s="510"/>
      <c r="AT84" s="510"/>
      <c r="AU84" s="510"/>
      <c r="AV84" s="510"/>
    </row>
    <row r="85" spans="1:59" ht="13.5" thickBot="1">
      <c r="A85" s="39" t="s">
        <v>1972</v>
      </c>
      <c r="B85" s="41"/>
      <c r="C85" s="41"/>
      <c r="D85" s="41"/>
      <c r="E85" s="41"/>
      <c r="F85" s="41"/>
      <c r="G85" s="42"/>
      <c r="H85" s="515">
        <f>(H48*'Study Information &amp; rates'!$B$101)</f>
        <v>0</v>
      </c>
      <c r="I85" s="516">
        <f>(I48*'Study Information &amp; rates'!$B$101)</f>
        <v>0</v>
      </c>
      <c r="J85" s="516">
        <f>(J48*'Study Information &amp; rates'!$B$101)</f>
        <v>0</v>
      </c>
      <c r="K85" s="516">
        <f>(K48*'Study Information &amp; rates'!$B$101)</f>
        <v>0</v>
      </c>
      <c r="L85" s="516">
        <f>(L48*'Study Information &amp; rates'!$B$101)</f>
        <v>0</v>
      </c>
      <c r="M85" s="516">
        <f>(M48*'Study Information &amp; rates'!$B$101)</f>
        <v>0</v>
      </c>
      <c r="N85" s="516">
        <f>(N48*'Study Information &amp; rates'!$B$101)</f>
        <v>0</v>
      </c>
      <c r="O85" s="516">
        <f>(O48*'Study Information &amp; rates'!$B$101)</f>
        <v>0</v>
      </c>
      <c r="P85" s="516">
        <f>(P48*'Study Information &amp; rates'!$B$101)</f>
        <v>0</v>
      </c>
      <c r="Q85" s="516">
        <f>(Q48*'Study Information &amp; rates'!$B$101)</f>
        <v>0</v>
      </c>
      <c r="R85" s="516">
        <f>(R48*'Study Information &amp; rates'!$B$101)</f>
        <v>0</v>
      </c>
      <c r="S85" s="516">
        <f>(S48*'Study Information &amp; rates'!$B$101)</f>
        <v>0</v>
      </c>
      <c r="T85" s="516">
        <f>(T48*'Study Information &amp; rates'!$B$101)</f>
        <v>0</v>
      </c>
      <c r="U85" s="516">
        <f>(U48*'Study Information &amp; rates'!$B$101)</f>
        <v>0</v>
      </c>
      <c r="V85" s="516">
        <f>(V48*'Study Information &amp; rates'!$B$101)</f>
        <v>0</v>
      </c>
      <c r="W85" s="516">
        <f>(W48*'Study Information &amp; rates'!$B$101)</f>
        <v>0</v>
      </c>
      <c r="X85" s="516">
        <f>(X48*'Study Information &amp; rates'!$B$101)</f>
        <v>0</v>
      </c>
      <c r="Y85" s="516">
        <f>(Y48*'Study Information &amp; rates'!$B$101)</f>
        <v>0</v>
      </c>
      <c r="Z85" s="516">
        <f>(Z48*'Study Information &amp; rates'!$B$101)</f>
        <v>0</v>
      </c>
      <c r="AA85" s="516">
        <f>(AA48*'Study Information &amp; rates'!$B$101)</f>
        <v>0</v>
      </c>
      <c r="AB85" s="516">
        <f>(AB48*'Study Information &amp; rates'!$B$101)</f>
        <v>0</v>
      </c>
      <c r="AC85" s="516">
        <f>(AC48*'Study Information &amp; rates'!$B$101)</f>
        <v>0</v>
      </c>
      <c r="AD85" s="516">
        <f>(AD48*'Study Information &amp; rates'!$B$101)</f>
        <v>0</v>
      </c>
      <c r="AE85" s="516">
        <f>(AE48*'Study Information &amp; rates'!$B$101)</f>
        <v>0</v>
      </c>
      <c r="AF85" s="516">
        <f>(AF48*'Study Information &amp; rates'!$B$101)</f>
        <v>0</v>
      </c>
      <c r="AG85" s="516">
        <f>(AG48*'Study Information &amp; rates'!$B$101)</f>
        <v>0</v>
      </c>
      <c r="AH85" s="516">
        <f>(AH48*'Study Information &amp; rates'!$B$101)</f>
        <v>0</v>
      </c>
      <c r="AI85" s="516">
        <f>(AI48*'Study Information &amp; rates'!$B$101)</f>
        <v>0</v>
      </c>
      <c r="AJ85" s="516">
        <f>(AJ48*'Study Information &amp; rates'!$B$101)</f>
        <v>0</v>
      </c>
      <c r="AK85" s="516">
        <f>(AK48*'Study Information &amp; rates'!$B$101)</f>
        <v>0</v>
      </c>
      <c r="AL85" s="516">
        <f>(AL48*'Study Information &amp; rates'!$B$101)</f>
        <v>0</v>
      </c>
      <c r="AM85" s="516">
        <f>(AM48*'Study Information &amp; rates'!$B$101)</f>
        <v>0</v>
      </c>
      <c r="AN85" s="516">
        <f>(AN48*'Study Information &amp; rates'!$B$101)</f>
        <v>0</v>
      </c>
      <c r="AO85" s="516">
        <f>(AO48*'Study Information &amp; rates'!$B$101)</f>
        <v>0</v>
      </c>
      <c r="AP85" s="516">
        <f>(AP48*'Study Information &amp; rates'!$B$101)</f>
        <v>0</v>
      </c>
      <c r="AQ85" s="473">
        <f>SUM(G85:AO85)</f>
        <v>0</v>
      </c>
      <c r="AR85" s="440">
        <f>'Set-up and other costs'!$B$18*'Per patient Arm 2'!AQ85</f>
        <v>0</v>
      </c>
      <c r="AS85" s="510"/>
      <c r="AT85" s="510"/>
      <c r="AU85" s="510"/>
      <c r="AV85" s="510"/>
      <c r="BB85" s="4">
        <f>SUMIF($BH:$BH,1,$C:$C)+SUMIF($BJ:$BJ,1,$C:$C)</f>
        <v>0</v>
      </c>
      <c r="BC85" s="275">
        <f>BB85*'Study Information &amp; rates'!$B$101</f>
        <v>0</v>
      </c>
      <c r="BD85" s="2">
        <f>IF('Study Information &amp; rates'!$B$44='Study Information &amp; rates'!$V$12,BC85*0.287,0)</f>
        <v>0</v>
      </c>
      <c r="BE85" s="2">
        <f>IF(($AR$52*'Study Information &amp; rates'!$B$27)&gt;5000,BC85*0.05,0)</f>
        <v>0</v>
      </c>
      <c r="BF85" s="2">
        <f>BC85+BD85+BE85</f>
        <v>0</v>
      </c>
      <c r="BG85" s="13" t="b">
        <f>BF85=BF48</f>
        <v>1</v>
      </c>
    </row>
    <row r="86" spans="1:59" ht="13.5" thickBot="1">
      <c r="A86" s="39" t="s">
        <v>1973</v>
      </c>
      <c r="B86" s="20"/>
      <c r="C86" s="20"/>
      <c r="D86" s="20"/>
      <c r="E86" s="20"/>
      <c r="F86" s="20"/>
      <c r="G86" s="43"/>
      <c r="H86" s="515">
        <f>(H49*'Study Information &amp; rates'!$C$101)</f>
        <v>0</v>
      </c>
      <c r="I86" s="515">
        <f>(I49*'Study Information &amp; rates'!$C$101)</f>
        <v>0</v>
      </c>
      <c r="J86" s="515">
        <f>(J49*'Study Information &amp; rates'!$C$101)</f>
        <v>0</v>
      </c>
      <c r="K86" s="515">
        <f>(K49*'Study Information &amp; rates'!$C$101)</f>
        <v>0</v>
      </c>
      <c r="L86" s="515">
        <f>(L49*'Study Information &amp; rates'!$C$101)</f>
        <v>0</v>
      </c>
      <c r="M86" s="515">
        <f>(M49*'Study Information &amp; rates'!$C$101)</f>
        <v>0</v>
      </c>
      <c r="N86" s="515">
        <f>(N49*'Study Information &amp; rates'!$C$101)</f>
        <v>0</v>
      </c>
      <c r="O86" s="515">
        <f>(O49*'Study Information &amp; rates'!$C$101)</f>
        <v>0</v>
      </c>
      <c r="P86" s="515">
        <f>(P49*'Study Information &amp; rates'!$C$101)</f>
        <v>0</v>
      </c>
      <c r="Q86" s="515">
        <f>(Q49*'Study Information &amp; rates'!$C$101)</f>
        <v>0</v>
      </c>
      <c r="R86" s="515">
        <f>(R49*'Study Information &amp; rates'!$C$101)</f>
        <v>0</v>
      </c>
      <c r="S86" s="515">
        <f>(S49*'Study Information &amp; rates'!$C$101)</f>
        <v>0</v>
      </c>
      <c r="T86" s="515">
        <f>(T49*'Study Information &amp; rates'!$C$101)</f>
        <v>0</v>
      </c>
      <c r="U86" s="515">
        <f>(U49*'Study Information &amp; rates'!$C$101)</f>
        <v>0</v>
      </c>
      <c r="V86" s="515">
        <f>(V49*'Study Information &amp; rates'!$C$101)</f>
        <v>0</v>
      </c>
      <c r="W86" s="515">
        <f>(W49*'Study Information &amp; rates'!$C$101)</f>
        <v>0</v>
      </c>
      <c r="X86" s="515">
        <f>(X49*'Study Information &amp; rates'!$C$101)</f>
        <v>0</v>
      </c>
      <c r="Y86" s="515">
        <f>(Y49*'Study Information &amp; rates'!$C$101)</f>
        <v>0</v>
      </c>
      <c r="Z86" s="515">
        <f>(Z49*'Study Information &amp; rates'!$C$101)</f>
        <v>0</v>
      </c>
      <c r="AA86" s="515">
        <f>(AA49*'Study Information &amp; rates'!$C$101)</f>
        <v>0</v>
      </c>
      <c r="AB86" s="515">
        <f>(AB49*'Study Information &amp; rates'!$C$101)</f>
        <v>0</v>
      </c>
      <c r="AC86" s="515">
        <f>(AC49*'Study Information &amp; rates'!$C$101)</f>
        <v>0</v>
      </c>
      <c r="AD86" s="515">
        <f>(AD49*'Study Information &amp; rates'!$C$101)</f>
        <v>0</v>
      </c>
      <c r="AE86" s="515">
        <f>(AE49*'Study Information &amp; rates'!$C$101)</f>
        <v>0</v>
      </c>
      <c r="AF86" s="515">
        <f>(AF49*'Study Information &amp; rates'!$C$101)</f>
        <v>0</v>
      </c>
      <c r="AG86" s="515">
        <f>(AG49*'Study Information &amp; rates'!$C$101)</f>
        <v>0</v>
      </c>
      <c r="AH86" s="515">
        <f>(AH49*'Study Information &amp; rates'!$C$101)</f>
        <v>0</v>
      </c>
      <c r="AI86" s="515">
        <f>(AI49*'Study Information &amp; rates'!$C$101)</f>
        <v>0</v>
      </c>
      <c r="AJ86" s="515">
        <f>(AJ49*'Study Information &amp; rates'!$C$101)</f>
        <v>0</v>
      </c>
      <c r="AK86" s="515">
        <f>(AK49*'Study Information &amp; rates'!$C$101)</f>
        <v>0</v>
      </c>
      <c r="AL86" s="515">
        <f>(AL49*'Study Information &amp; rates'!$C$101)</f>
        <v>0</v>
      </c>
      <c r="AM86" s="515">
        <f>(AM49*'Study Information &amp; rates'!$C$101)</f>
        <v>0</v>
      </c>
      <c r="AN86" s="515">
        <f>(AN49*'Study Information &amp; rates'!$C$101)</f>
        <v>0</v>
      </c>
      <c r="AO86" s="515">
        <f>(AO49*'Study Information &amp; rates'!$C$101)</f>
        <v>0</v>
      </c>
      <c r="AP86" s="515">
        <f>(AP49*'Study Information &amp; rates'!$C$101)</f>
        <v>0</v>
      </c>
      <c r="AQ86" s="473">
        <f>SUM(H86:AP86)</f>
        <v>0</v>
      </c>
      <c r="AR86" s="440">
        <f>'Set-up and other costs'!$B$18*'Per patient Arm 2'!AQ86</f>
        <v>0</v>
      </c>
      <c r="AS86" s="510"/>
      <c r="AT86" s="510"/>
      <c r="AU86" s="510"/>
      <c r="AV86" s="510"/>
      <c r="BB86" s="4">
        <f>SUMIF($BH:$BH,1,$D:$D)+SUMIF($BJ:$BJ,1,$D:$D)</f>
        <v>0</v>
      </c>
      <c r="BC86" s="275">
        <f>BB86*'Study Information &amp; rates'!$C$101</f>
        <v>0</v>
      </c>
      <c r="BD86" s="2">
        <f>IF('Study Information &amp; rates'!$B$44='Study Information &amp; rates'!$V$12,BC86*0.287,0)</f>
        <v>0</v>
      </c>
      <c r="BE86" s="2">
        <f>IF(($AR$52*'Study Information &amp; rates'!$B$27)&gt;5000,BC86*0.05,0)</f>
        <v>0</v>
      </c>
      <c r="BF86" s="2">
        <f>BC86+BD86+BE86</f>
        <v>0</v>
      </c>
      <c r="BG86" s="13" t="b">
        <f>BF86=BF49</f>
        <v>1</v>
      </c>
    </row>
    <row r="87" spans="1:59" ht="13.5" thickBot="1">
      <c r="A87" s="40" t="s">
        <v>47</v>
      </c>
      <c r="B87" s="20"/>
      <c r="C87" s="20"/>
      <c r="D87" s="20"/>
      <c r="E87" s="20"/>
      <c r="F87" s="20"/>
      <c r="G87" s="43"/>
      <c r="H87" s="521">
        <f>(H50*'Study Information &amp; rates'!$D$101)</f>
        <v>0</v>
      </c>
      <c r="I87" s="522">
        <f>(I50*'Study Information &amp; rates'!$D$101)</f>
        <v>0</v>
      </c>
      <c r="J87" s="522">
        <f>(J50*'Study Information &amp; rates'!$D$101)</f>
        <v>0</v>
      </c>
      <c r="K87" s="522">
        <f>(K50*'Study Information &amp; rates'!$D$101)</f>
        <v>0</v>
      </c>
      <c r="L87" s="522">
        <f>(L50*'Study Information &amp; rates'!$D$101)</f>
        <v>0</v>
      </c>
      <c r="M87" s="522">
        <f>(M50*'Study Information &amp; rates'!$D$101)</f>
        <v>0</v>
      </c>
      <c r="N87" s="522">
        <f>(N50*'Study Information &amp; rates'!$D$101)</f>
        <v>0</v>
      </c>
      <c r="O87" s="522">
        <f>(O50*'Study Information &amp; rates'!$D$101)</f>
        <v>0</v>
      </c>
      <c r="P87" s="522">
        <f>(P50*'Study Information &amp; rates'!$D$101)</f>
        <v>0</v>
      </c>
      <c r="Q87" s="522">
        <f>(Q50*'Study Information &amp; rates'!$D$101)</f>
        <v>0</v>
      </c>
      <c r="R87" s="522">
        <f>(R50*'Study Information &amp; rates'!$D$101)</f>
        <v>0</v>
      </c>
      <c r="S87" s="522">
        <f>(S50*'Study Information &amp; rates'!$D$101)</f>
        <v>0</v>
      </c>
      <c r="T87" s="522">
        <f>(T50*'Study Information &amp; rates'!$D$101)</f>
        <v>0</v>
      </c>
      <c r="U87" s="522">
        <f>(U50*'Study Information &amp; rates'!$D$101)</f>
        <v>0</v>
      </c>
      <c r="V87" s="522">
        <f>(V50*'Study Information &amp; rates'!$D$101)</f>
        <v>0</v>
      </c>
      <c r="W87" s="522">
        <f>(W50*'Study Information &amp; rates'!$D$101)</f>
        <v>0</v>
      </c>
      <c r="X87" s="522">
        <f>(X50*'Study Information &amp; rates'!$D$101)</f>
        <v>0</v>
      </c>
      <c r="Y87" s="522">
        <f>(Y50*'Study Information &amp; rates'!$D$101)</f>
        <v>0</v>
      </c>
      <c r="Z87" s="522">
        <f>(Z50*'Study Information &amp; rates'!$D$101)</f>
        <v>0</v>
      </c>
      <c r="AA87" s="522">
        <f>(AA50*'Study Information &amp; rates'!$D$101)</f>
        <v>0</v>
      </c>
      <c r="AB87" s="522">
        <f>(AB50*'Study Information &amp; rates'!$D$101)</f>
        <v>0</v>
      </c>
      <c r="AC87" s="522">
        <f>(AC50*'Study Information &amp; rates'!$D$101)</f>
        <v>0</v>
      </c>
      <c r="AD87" s="522">
        <f>(AD50*'Study Information &amp; rates'!$D$101)</f>
        <v>0</v>
      </c>
      <c r="AE87" s="522">
        <f>(AE50*'Study Information &amp; rates'!$D$101)</f>
        <v>0</v>
      </c>
      <c r="AF87" s="522">
        <f>(AF50*'Study Information &amp; rates'!$D$101)</f>
        <v>0</v>
      </c>
      <c r="AG87" s="522">
        <f>(AG50*'Study Information &amp; rates'!$D$101)</f>
        <v>0</v>
      </c>
      <c r="AH87" s="522">
        <f>(AH50*'Study Information &amp; rates'!$D$101)</f>
        <v>0</v>
      </c>
      <c r="AI87" s="522">
        <f>(AI50*'Study Information &amp; rates'!$D$101)</f>
        <v>0</v>
      </c>
      <c r="AJ87" s="522">
        <f>(AJ50*'Study Information &amp; rates'!$D$101)</f>
        <v>0</v>
      </c>
      <c r="AK87" s="522">
        <f>(AK50*'Study Information &amp; rates'!$D$101)</f>
        <v>0</v>
      </c>
      <c r="AL87" s="522">
        <f>(AL50*'Study Information &amp; rates'!$D$101)</f>
        <v>0</v>
      </c>
      <c r="AM87" s="522">
        <f>(AM50*'Study Information &amp; rates'!$D$101)</f>
        <v>0</v>
      </c>
      <c r="AN87" s="522">
        <f>(AN50*'Study Information &amp; rates'!$D$101)</f>
        <v>0</v>
      </c>
      <c r="AO87" s="522">
        <f>(AO50*'Study Information &amp; rates'!$D$101)</f>
        <v>0</v>
      </c>
      <c r="AP87" s="522">
        <f>(AP50*'Study Information &amp; rates'!$D$101)</f>
        <v>0</v>
      </c>
      <c r="AQ87" s="473">
        <f>SUM(H87:AP87)</f>
        <v>0</v>
      </c>
      <c r="AR87" s="440">
        <f>'Set-up and other costs'!$B$18*'Per patient Arm 2'!AQ87</f>
        <v>0</v>
      </c>
      <c r="AS87" s="510"/>
      <c r="AT87" s="510"/>
      <c r="AU87" s="510"/>
      <c r="AV87" s="511" t="b">
        <f>G555=AV50+AV82</f>
        <v>1</v>
      </c>
      <c r="BB87" s="4">
        <f>SUMIF($BH:$BH,1,$E:$E)+SUMIF($BJ:$BJ,1,$E:$E)</f>
        <v>0</v>
      </c>
      <c r="BC87" s="275">
        <f>BB87*'Study Information &amp; rates'!$D$101</f>
        <v>0</v>
      </c>
      <c r="BD87" s="2">
        <f>IF('Study Information &amp; rates'!$B$44='Study Information &amp; rates'!$V$12,BC87*0.287,0)</f>
        <v>0</v>
      </c>
      <c r="BE87" s="2">
        <f>IF(($AR$52*'Study Information &amp; rates'!$B$27)&gt;5000,BC87*0.05,0)</f>
        <v>0</v>
      </c>
      <c r="BF87" s="2">
        <f>BC87+BD87+BE87</f>
        <v>0</v>
      </c>
      <c r="BG87" s="13" t="b">
        <f>BF87=BF50</f>
        <v>1</v>
      </c>
    </row>
    <row r="88" spans="1:59" ht="13.5" thickBot="1">
      <c r="A88" s="44" t="s">
        <v>48</v>
      </c>
      <c r="B88" s="20"/>
      <c r="C88" s="20"/>
      <c r="D88" s="20"/>
      <c r="E88" s="20"/>
      <c r="F88" s="20"/>
      <c r="G88" s="43"/>
      <c r="H88" s="524">
        <f>(H51*'Study Information &amp; rates'!$F$101)</f>
        <v>0</v>
      </c>
      <c r="I88" s="525">
        <f>(I51*'Study Information &amp; rates'!$F$101)</f>
        <v>0</v>
      </c>
      <c r="J88" s="525">
        <f>(J51*'Study Information &amp; rates'!$F$101)</f>
        <v>0</v>
      </c>
      <c r="K88" s="525">
        <f>(K51*'Study Information &amp; rates'!$F$101)</f>
        <v>0</v>
      </c>
      <c r="L88" s="525">
        <f>(L51*'Study Information &amp; rates'!$F$101)</f>
        <v>0</v>
      </c>
      <c r="M88" s="525">
        <f>(M51*'Study Information &amp; rates'!$F$101)</f>
        <v>0</v>
      </c>
      <c r="N88" s="525">
        <f>(N51*'Study Information &amp; rates'!$F$101)</f>
        <v>0</v>
      </c>
      <c r="O88" s="525">
        <f>(O51*'Study Information &amp; rates'!$F$101)</f>
        <v>0</v>
      </c>
      <c r="P88" s="525">
        <f>(P51*'Study Information &amp; rates'!$F$101)</f>
        <v>0</v>
      </c>
      <c r="Q88" s="525">
        <f>(Q51*'Study Information &amp; rates'!$F$101)</f>
        <v>0</v>
      </c>
      <c r="R88" s="525">
        <f>(R51*'Study Information &amp; rates'!$F$101)</f>
        <v>0</v>
      </c>
      <c r="S88" s="525">
        <f>(S51*'Study Information &amp; rates'!$F$101)</f>
        <v>0</v>
      </c>
      <c r="T88" s="525">
        <f>(T51*'Study Information &amp; rates'!$F$101)</f>
        <v>0</v>
      </c>
      <c r="U88" s="525">
        <f>(U51*'Study Information &amp; rates'!$F$101)</f>
        <v>0</v>
      </c>
      <c r="V88" s="525">
        <f>(V51*'Study Information &amp; rates'!$F$101)</f>
        <v>0</v>
      </c>
      <c r="W88" s="525">
        <f>(W51*'Study Information &amp; rates'!$F$101)</f>
        <v>0</v>
      </c>
      <c r="X88" s="525">
        <f>(X51*'Study Information &amp; rates'!$F$101)</f>
        <v>0</v>
      </c>
      <c r="Y88" s="525">
        <f>(Y51*'Study Information &amp; rates'!$F$101)</f>
        <v>0</v>
      </c>
      <c r="Z88" s="525">
        <f>(Z51*'Study Information &amp; rates'!$F$101)</f>
        <v>0</v>
      </c>
      <c r="AA88" s="525">
        <f>(AA51*'Study Information &amp; rates'!$F$101)</f>
        <v>0</v>
      </c>
      <c r="AB88" s="525">
        <f>(AB51*'Study Information &amp; rates'!$F$101)</f>
        <v>0</v>
      </c>
      <c r="AC88" s="525">
        <f>(AC51*'Study Information &amp; rates'!$F$101)</f>
        <v>0</v>
      </c>
      <c r="AD88" s="525">
        <f>(AD51*'Study Information &amp; rates'!$F$101)</f>
        <v>0</v>
      </c>
      <c r="AE88" s="525">
        <f>(AE51*'Study Information &amp; rates'!$F$101)</f>
        <v>0</v>
      </c>
      <c r="AF88" s="525">
        <f>(AF51*'Study Information &amp; rates'!$F$101)</f>
        <v>0</v>
      </c>
      <c r="AG88" s="525">
        <f>(AG51*'Study Information &amp; rates'!$F$101)</f>
        <v>0</v>
      </c>
      <c r="AH88" s="525">
        <f>(AH51*'Study Information &amp; rates'!$F$101)</f>
        <v>0</v>
      </c>
      <c r="AI88" s="525">
        <f>(AI51*'Study Information &amp; rates'!$F$101)</f>
        <v>0</v>
      </c>
      <c r="AJ88" s="525">
        <f>(AJ51*'Study Information &amp; rates'!$F$101)</f>
        <v>0</v>
      </c>
      <c r="AK88" s="525">
        <f>(AK51*'Study Information &amp; rates'!$F$101)</f>
        <v>0</v>
      </c>
      <c r="AL88" s="525">
        <f>(AL51*'Study Information &amp; rates'!$F$101)</f>
        <v>0</v>
      </c>
      <c r="AM88" s="525">
        <f>(AM51*'Study Information &amp; rates'!$F$101)</f>
        <v>0</v>
      </c>
      <c r="AN88" s="525">
        <f>(AN51*'Study Information &amp; rates'!$F$101)</f>
        <v>0</v>
      </c>
      <c r="AO88" s="525">
        <f>(AO51*'Study Information &amp; rates'!$F$101)</f>
        <v>0</v>
      </c>
      <c r="AP88" s="525">
        <f>(AP51*'Study Information &amp; rates'!$F$101)</f>
        <v>0</v>
      </c>
      <c r="AQ88" s="473">
        <f>SUM(H88:AP88)</f>
        <v>0</v>
      </c>
      <c r="AR88" s="440">
        <f>'Set-up and other costs'!$B$18*'Per patient Arm 2'!AQ88</f>
        <v>0</v>
      </c>
      <c r="AS88" s="510"/>
      <c r="AT88" s="510"/>
      <c r="AU88" s="510"/>
      <c r="AV88" s="510"/>
      <c r="BB88" s="4">
        <f>SUMIF($BH:$BH,1,$F:$F)+SUMIF($BJ:$BJ,1,$F:$F)</f>
        <v>0</v>
      </c>
      <c r="BC88" s="275">
        <f>BB88*'Study Information &amp; rates'!$F$101</f>
        <v>0</v>
      </c>
      <c r="BD88" s="2">
        <f>IF('Study Information &amp; rates'!$B$44='Study Information &amp; rates'!$V$12,BC88*0.287,0)</f>
        <v>0</v>
      </c>
      <c r="BE88" s="2">
        <f>IF(($AR$52*'Study Information &amp; rates'!$B$27)&gt;5000,BC88*0.05,0)</f>
        <v>0</v>
      </c>
      <c r="BF88" s="2">
        <f>BC88+BD88+BE88</f>
        <v>0</v>
      </c>
      <c r="BG88" s="13" t="b">
        <f>BF88=BF51</f>
        <v>1</v>
      </c>
    </row>
    <row r="89" spans="1:58" ht="13.5" thickBot="1">
      <c r="A89" s="45" t="s">
        <v>49</v>
      </c>
      <c r="B89" s="46"/>
      <c r="C89" s="46"/>
      <c r="D89" s="46"/>
      <c r="E89" s="46"/>
      <c r="F89" s="46"/>
      <c r="G89" s="47"/>
      <c r="H89" s="529">
        <f>SUMPRODUCT($G$56:$G$81,H56:H81)</f>
        <v>0</v>
      </c>
      <c r="I89" s="530">
        <f>SUMPRODUCT($G$56:$G$81,I56:I81)</f>
        <v>0</v>
      </c>
      <c r="J89" s="530">
        <f>SUMPRODUCT($G$56:$G$81,J56:J81)</f>
        <v>0</v>
      </c>
      <c r="K89" s="530">
        <f>SUMPRODUCT($G$56:$G$81,K56:K81)</f>
        <v>0</v>
      </c>
      <c r="L89" s="530">
        <f>SUMPRODUCT($G$56:$G$81,L56:L81)</f>
        <v>0</v>
      </c>
      <c r="M89" s="530">
        <f>SUMPRODUCT($G$56:$G$81,M56:M81)</f>
        <v>0</v>
      </c>
      <c r="N89" s="530">
        <f>SUMPRODUCT($G$56:$G$81,N56:N81)</f>
        <v>0</v>
      </c>
      <c r="O89" s="530">
        <f>SUMPRODUCT($G$56:$G$81,O56:O81)</f>
        <v>0</v>
      </c>
      <c r="P89" s="530">
        <f>SUMPRODUCT($G$56:$G$81,P56:P81)</f>
        <v>0</v>
      </c>
      <c r="Q89" s="530">
        <f>SUMPRODUCT($G$56:$G$81,Q56:Q81)</f>
        <v>0</v>
      </c>
      <c r="R89" s="530">
        <f>SUMPRODUCT($G$56:$G$81,R56:R81)</f>
        <v>0</v>
      </c>
      <c r="S89" s="530">
        <f>SUMPRODUCT($G$56:$G$81,S56:S81)</f>
        <v>0</v>
      </c>
      <c r="T89" s="530">
        <f>SUMPRODUCT($G$56:$G$81,T56:T81)</f>
        <v>0</v>
      </c>
      <c r="U89" s="530">
        <f>SUMPRODUCT($G$56:$G$81,U56:U81)</f>
        <v>0</v>
      </c>
      <c r="V89" s="530">
        <f>SUMPRODUCT($G$56:$G$81,V56:V81)</f>
        <v>0</v>
      </c>
      <c r="W89" s="530">
        <f>SUMPRODUCT($G$56:$G$81,W56:W81)</f>
        <v>0</v>
      </c>
      <c r="X89" s="530">
        <f>SUMPRODUCT($G$56:$G$81,X56:X81)</f>
        <v>0</v>
      </c>
      <c r="Y89" s="530">
        <f>SUMPRODUCT($G$56:$G$81,Y56:Y81)</f>
        <v>0</v>
      </c>
      <c r="Z89" s="530">
        <f>SUMPRODUCT($G$56:$G$81,Z56:Z81)</f>
        <v>0</v>
      </c>
      <c r="AA89" s="530">
        <f>SUMPRODUCT($G$56:$G$81,AA56:AA81)</f>
        <v>0</v>
      </c>
      <c r="AB89" s="530">
        <f>SUMPRODUCT($G$56:$G$81,AB56:AB81)</f>
        <v>0</v>
      </c>
      <c r="AC89" s="530">
        <f>SUMPRODUCT($G$56:$G$81,AC56:AC81)</f>
        <v>0</v>
      </c>
      <c r="AD89" s="530">
        <f>SUMPRODUCT($G$56:$G$81,AD56:AD81)</f>
        <v>0</v>
      </c>
      <c r="AE89" s="530">
        <f>SUMPRODUCT($G$56:$G$81,AE56:AE81)</f>
        <v>0</v>
      </c>
      <c r="AF89" s="530">
        <f>SUMPRODUCT($G$56:$G$81,AF56:AF81)</f>
        <v>0</v>
      </c>
      <c r="AG89" s="530">
        <f>SUMPRODUCT($G$56:$G$81,AG56:AG81)</f>
        <v>0</v>
      </c>
      <c r="AH89" s="530">
        <f>SUMPRODUCT($G$56:$G$81,AH56:AH81)</f>
        <v>0</v>
      </c>
      <c r="AI89" s="530">
        <f>SUMPRODUCT($G$56:$G$81,AI56:AI81)</f>
        <v>0</v>
      </c>
      <c r="AJ89" s="530">
        <f>SUMPRODUCT($G$56:$G$81,AJ56:AJ81)</f>
        <v>0</v>
      </c>
      <c r="AK89" s="530">
        <f>SUMPRODUCT($G$56:$G$81,AK56:AK81)</f>
        <v>0</v>
      </c>
      <c r="AL89" s="530">
        <f>SUMPRODUCT($G$56:$G$81,AL56:AL81)</f>
        <v>0</v>
      </c>
      <c r="AM89" s="530">
        <f>SUMPRODUCT($G$56:$G$81,AM56:AM81)</f>
        <v>0</v>
      </c>
      <c r="AN89" s="530">
        <f>SUMPRODUCT($G$56:$G$81,AN56:AN81)</f>
        <v>0</v>
      </c>
      <c r="AO89" s="530">
        <f>SUMPRODUCT($G$56:$G$81,AO56:AO81)</f>
        <v>0</v>
      </c>
      <c r="AP89" s="530">
        <f>SUMPRODUCT($G$56:$G$81,AP56:AP81)</f>
        <v>0</v>
      </c>
      <c r="AQ89" s="473">
        <f>SUM(H89:AP89)</f>
        <v>0</v>
      </c>
      <c r="AR89" s="440">
        <f>'Set-up and other costs'!$B$18*'Per patient Arm 2'!AQ89</f>
        <v>0</v>
      </c>
      <c r="AS89" s="510"/>
      <c r="AT89" s="510"/>
      <c r="AU89" s="510"/>
      <c r="AV89" s="510"/>
      <c r="BB89" s="4">
        <f>SUMIF($BH56:$BH81,1,G56:G81)+SUMIF($BJ56:$BJ81,1,G56:G81)</f>
        <v>0</v>
      </c>
      <c r="BF89" s="2">
        <f>BB89</f>
        <v>0</v>
      </c>
    </row>
    <row r="90" spans="1:58" ht="13.5" thickBot="1">
      <c r="A90" s="553"/>
      <c r="B90" s="20"/>
      <c r="C90" s="20"/>
      <c r="D90" s="20"/>
      <c r="E90" s="20"/>
      <c r="F90" s="20"/>
      <c r="G90" s="20"/>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548"/>
      <c r="AI90" s="548"/>
      <c r="AJ90" s="548"/>
      <c r="AK90" s="548"/>
      <c r="AL90" s="548"/>
      <c r="AM90" s="548"/>
      <c r="AN90" s="548"/>
      <c r="AO90" s="548"/>
      <c r="AP90" s="548"/>
      <c r="AQ90" s="549"/>
      <c r="AR90" s="550"/>
      <c r="AS90" s="510"/>
      <c r="AT90" s="510"/>
      <c r="AU90" s="510"/>
      <c r="AV90" s="510"/>
      <c r="BB90" s="554"/>
      <c r="BF90" s="555"/>
    </row>
    <row r="91" spans="8:48" ht="13.5" hidden="1" thickBot="1">
      <c r="H91" s="510">
        <f>SUM(H85:H89)</f>
        <v>0</v>
      </c>
      <c r="I91" s="510">
        <f>SUM(I85:I89)</f>
        <v>0</v>
      </c>
      <c r="J91" s="510">
        <f>SUM(J85:J89)</f>
        <v>0</v>
      </c>
      <c r="K91" s="510">
        <f>SUM(K85:K89)</f>
        <v>0</v>
      </c>
      <c r="L91" s="510">
        <f>SUM(L85:L89)</f>
        <v>0</v>
      </c>
      <c r="M91" s="510">
        <f>SUM(M85:M89)</f>
        <v>0</v>
      </c>
      <c r="N91" s="510">
        <f>SUM(N85:N89)</f>
        <v>0</v>
      </c>
      <c r="O91" s="510">
        <f>SUM(O85:O89)</f>
        <v>0</v>
      </c>
      <c r="P91" s="510">
        <f>SUM(P85:P89)</f>
        <v>0</v>
      </c>
      <c r="Q91" s="510">
        <f>SUM(Q85:Q89)</f>
        <v>0</v>
      </c>
      <c r="R91" s="510">
        <f>SUM(R85:R89)</f>
        <v>0</v>
      </c>
      <c r="S91" s="510">
        <f>SUM(S85:S89)</f>
        <v>0</v>
      </c>
      <c r="T91" s="510">
        <f>SUM(T85:T89)</f>
        <v>0</v>
      </c>
      <c r="U91" s="510">
        <f>SUM(U85:U89)</f>
        <v>0</v>
      </c>
      <c r="V91" s="510">
        <f>SUM(V85:V89)</f>
        <v>0</v>
      </c>
      <c r="W91" s="510">
        <f>SUM(W85:W89)</f>
        <v>0</v>
      </c>
      <c r="X91" s="510">
        <f>SUM(X85:X89)</f>
        <v>0</v>
      </c>
      <c r="Y91" s="510">
        <f>SUM(Y85:Y89)</f>
        <v>0</v>
      </c>
      <c r="Z91" s="510">
        <f>SUM(Z85:Z89)</f>
        <v>0</v>
      </c>
      <c r="AA91" s="510">
        <f>SUM(AA85:AA89)</f>
        <v>0</v>
      </c>
      <c r="AB91" s="510">
        <f>SUM(AB85:AB89)</f>
        <v>0</v>
      </c>
      <c r="AC91" s="510">
        <f>SUM(AC85:AC89)</f>
        <v>0</v>
      </c>
      <c r="AD91" s="510">
        <f>SUM(AD85:AD89)</f>
        <v>0</v>
      </c>
      <c r="AE91" s="510">
        <f>SUM(AE85:AE89)</f>
        <v>0</v>
      </c>
      <c r="AF91" s="510">
        <f>SUM(AF85:AF89)</f>
        <v>0</v>
      </c>
      <c r="AG91" s="510">
        <f>SUM(AG85:AG89)</f>
        <v>0</v>
      </c>
      <c r="AH91" s="510">
        <f>SUM(AH85:AH89)</f>
        <v>0</v>
      </c>
      <c r="AI91" s="510">
        <f>SUM(AI85:AI89)</f>
        <v>0</v>
      </c>
      <c r="AJ91" s="510">
        <f>SUM(AJ85:AJ89)</f>
        <v>0</v>
      </c>
      <c r="AK91" s="510">
        <f>SUM(AK85:AK89)</f>
        <v>0</v>
      </c>
      <c r="AL91" s="510">
        <f>SUM(AL85:AL89)</f>
        <v>0</v>
      </c>
      <c r="AM91" s="510">
        <f>SUM(AM85:AM89)</f>
        <v>0</v>
      </c>
      <c r="AN91" s="510">
        <f>SUM(AN85:AN89)</f>
        <v>0</v>
      </c>
      <c r="AO91" s="510">
        <f>SUM(AO85:AO89)</f>
        <v>0</v>
      </c>
      <c r="AP91" s="510">
        <f>SUM(AP85:AP89)</f>
        <v>0</v>
      </c>
      <c r="AQ91" s="510"/>
      <c r="AR91" s="510"/>
      <c r="AS91" s="510"/>
      <c r="AT91" s="510"/>
      <c r="AU91" s="510"/>
      <c r="AV91" s="510"/>
    </row>
    <row r="92" spans="1:59" ht="13.5" thickBot="1">
      <c r="A92" s="48" t="s">
        <v>53</v>
      </c>
      <c r="B92" s="46"/>
      <c r="C92" s="46"/>
      <c r="D92" s="46"/>
      <c r="E92" s="46"/>
      <c r="F92" s="46"/>
      <c r="G92" s="47"/>
      <c r="H92" s="530">
        <f>IF('Study Information &amp; rates'!$B$44="No",SUM(H85:H89),(0.337*H91)+H91)</f>
        <v>0</v>
      </c>
      <c r="I92" s="530">
        <f>IF('Study Information &amp; rates'!$B$44="No",SUM(I85:I89),(0.337*I91)+I91)</f>
        <v>0</v>
      </c>
      <c r="J92" s="530">
        <f>IF('Study Information &amp; rates'!$B$44="No",SUM(J85:J89),(0.337*J91)+J91)</f>
        <v>0</v>
      </c>
      <c r="K92" s="530">
        <f>IF('Study Information &amp; rates'!$B$44="No",SUM(K85:K89),(0.337*K91)+K91)</f>
        <v>0</v>
      </c>
      <c r="L92" s="530">
        <f>IF('Study Information &amp; rates'!$B$44="No",SUM(L85:L89),(0.337*L91)+L91)</f>
        <v>0</v>
      </c>
      <c r="M92" s="530">
        <f>IF('Study Information &amp; rates'!$B$44="No",SUM(M85:M89),(0.337*M91)+M91)</f>
        <v>0</v>
      </c>
      <c r="N92" s="530">
        <f>IF('Study Information &amp; rates'!$B$44="No",SUM(N85:N89),(0.337*N91)+N91)</f>
        <v>0</v>
      </c>
      <c r="O92" s="530">
        <f>IF('Study Information &amp; rates'!$B$44="No",SUM(O85:O89),(0.337*O91)+O91)</f>
        <v>0</v>
      </c>
      <c r="P92" s="530">
        <f>IF('Study Information &amp; rates'!$B$44="No",SUM(P85:P89),(0.337*P91)+P91)</f>
        <v>0</v>
      </c>
      <c r="Q92" s="530">
        <f>IF('Study Information &amp; rates'!$B$44="No",SUM(Q85:Q89),(0.337*Q91)+Q91)</f>
        <v>0</v>
      </c>
      <c r="R92" s="530">
        <f>IF('Study Information &amp; rates'!$B$44="No",SUM(R85:R89),(0.337*R91)+R91)</f>
        <v>0</v>
      </c>
      <c r="S92" s="530">
        <f>IF('Study Information &amp; rates'!$B$44="No",SUM(S85:S89),(0.337*S91)+S91)</f>
        <v>0</v>
      </c>
      <c r="T92" s="530">
        <f>IF('Study Information &amp; rates'!$B$44="No",SUM(T85:T89),(0.337*T91)+T91)</f>
        <v>0</v>
      </c>
      <c r="U92" s="530">
        <f>IF('Study Information &amp; rates'!$B$44="No",SUM(U85:U89),(0.337*U91)+U91)</f>
        <v>0</v>
      </c>
      <c r="V92" s="530">
        <f>IF('Study Information &amp; rates'!$B$44="No",SUM(V85:V89),(0.337*V91)+V91)</f>
        <v>0</v>
      </c>
      <c r="W92" s="530">
        <f>IF('Study Information &amp; rates'!$B$44="No",SUM(W85:W89),(0.337*W91)+W91)</f>
        <v>0</v>
      </c>
      <c r="X92" s="530">
        <f>IF('Study Information &amp; rates'!$B$44="No",SUM(X85:X89),(0.337*X91)+X91)</f>
        <v>0</v>
      </c>
      <c r="Y92" s="530">
        <f>IF('Study Information &amp; rates'!$B$44="No",SUM(Y85:Y89),(0.337*Y91)+Y91)</f>
        <v>0</v>
      </c>
      <c r="Z92" s="530">
        <f>IF('Study Information &amp; rates'!$B$44="No",SUM(Z85:Z89),(0.337*Z91)+Z91)</f>
        <v>0</v>
      </c>
      <c r="AA92" s="530">
        <f>IF('Study Information &amp; rates'!$B$44="No",SUM(AA85:AA89),(0.337*AA91)+AA91)</f>
        <v>0</v>
      </c>
      <c r="AB92" s="530">
        <f>IF('Study Information &amp; rates'!$B$44="No",SUM(AB85:AB89),(0.337*AB91)+AB91)</f>
        <v>0</v>
      </c>
      <c r="AC92" s="530">
        <f>IF('Study Information &amp; rates'!$B$44="No",SUM(AC85:AC89),(0.337*AC91)+AC91)</f>
        <v>0</v>
      </c>
      <c r="AD92" s="530">
        <f>IF('Study Information &amp; rates'!$B$44="No",SUM(AD85:AD89),(0.337*AD91)+AD91)</f>
        <v>0</v>
      </c>
      <c r="AE92" s="530">
        <f>IF('Study Information &amp; rates'!$B$44="No",SUM(AE85:AE89),(0.337*AE91)+AE91)</f>
        <v>0</v>
      </c>
      <c r="AF92" s="530">
        <f>IF('Study Information &amp; rates'!$B$44="No",SUM(AF85:AF89),(0.337*AF91)+AF91)</f>
        <v>0</v>
      </c>
      <c r="AG92" s="530">
        <f>IF('Study Information &amp; rates'!$B$44="No",SUM(AG85:AG89),(0.337*AG91)+AG91)</f>
        <v>0</v>
      </c>
      <c r="AH92" s="530">
        <f>IF('Study Information &amp; rates'!$B$44="No",SUM(AH85:AH89),(0.337*AH91)+AH91)</f>
        <v>0</v>
      </c>
      <c r="AI92" s="530">
        <f>IF('Study Information &amp; rates'!$B$44="No",SUM(AI85:AI89),(0.337*AI91)+AI91)</f>
        <v>0</v>
      </c>
      <c r="AJ92" s="530">
        <f>IF('Study Information &amp; rates'!$B$44="No",SUM(AJ85:AJ89),(0.337*AJ91)+AJ91)</f>
        <v>0</v>
      </c>
      <c r="AK92" s="530">
        <f>IF('Study Information &amp; rates'!$B$44="No",SUM(AK85:AK89),(0.337*AK91)+AK91)</f>
        <v>0</v>
      </c>
      <c r="AL92" s="530">
        <f>IF('Study Information &amp; rates'!$B$44="No",SUM(AL85:AL89),(0.337*AL91)+AL91)</f>
        <v>0</v>
      </c>
      <c r="AM92" s="530">
        <f>IF('Study Information &amp; rates'!$B$44="No",SUM(AM85:AM89),(0.337*AM91)+AM91)</f>
        <v>0</v>
      </c>
      <c r="AN92" s="530">
        <f>IF('Study Information &amp; rates'!$B$44="No",SUM(AN85:AN89),(0.337*AN91)+AN91)</f>
        <v>0</v>
      </c>
      <c r="AO92" s="530">
        <f>IF('Study Information &amp; rates'!$B$44="No",SUM(AO85:AO89),(0.337*AO91)+AO91)</f>
        <v>0</v>
      </c>
      <c r="AP92" s="530">
        <f>IF('Study Information &amp; rates'!$B$44="No",SUM(AP85:AP89),(0.337*AP91)+AP91)</f>
        <v>0</v>
      </c>
      <c r="AQ92" s="545">
        <f>SUM(H92:AP92)</f>
        <v>0</v>
      </c>
      <c r="AR92" s="440">
        <f>'Set-up and other costs'!$B$18*'Per patient Arm 2'!AQ92</f>
        <v>0</v>
      </c>
      <c r="AS92" s="510"/>
      <c r="AT92" s="511"/>
      <c r="AU92" s="511"/>
      <c r="AV92" s="511"/>
      <c r="BG92" s="2">
        <f>SUM(BF85:BF89)</f>
        <v>0</v>
      </c>
    </row>
    <row r="93" spans="1:48" ht="13.5" thickBot="1">
      <c r="A93" s="38"/>
      <c r="AR93" s="511">
        <f>AR92*8</f>
        <v>0</v>
      </c>
      <c r="AS93" s="510"/>
      <c r="AT93" s="511"/>
      <c r="AU93" s="511"/>
      <c r="AV93" s="511"/>
    </row>
  </sheetData>
  <sheetProtection algorithmName="SHA-512" hashValue="nbc+p+jT0tk+UCnZR9bvRcyBLOf8TEZHYhJL3r/ZkwD31mBNka8VZ36sofyv2jJD16d7PwNsE182iRekTXBbFg==" saltValue="+jXVAFLR/Xqw5qpTipY30Q==" spinCount="100000" sheet="1" objects="1" scenarios="1"/>
  <conditionalFormatting sqref="AW51:AZ51 B2 BG85:BG88">
    <cfRule type="containsText" dxfId="70" operator="containsText" text="False" priority="5">
      <formula>NOT(ISERROR(SEARCH("False",B2)))</formula>
    </cfRule>
    <cfRule type="containsText" dxfId="71" operator="containsText" text="True" priority="6">
      <formula>NOT(ISERROR(SEARCH("True",B2)))</formula>
    </cfRule>
  </conditionalFormatting>
  <dataValidations count="9">
    <dataValidation type="list" allowBlank="1" showInputMessage="1" prompt="Please use the drop-down to select the activity type.  If the activity is not in the list, please enter the activity as free text." sqref="A8:A34 A56:A57">
      <formula1>INDIRECT(SUBSTITUTE($A8," ","_"))</formula1>
    </dataValidation>
    <dataValidation type="whole" operator="greaterThan" allowBlank="1" showInputMessage="1" showErrorMessage="1" sqref="H56:N60 AC56:AQ56 H8:AQ46">
      <formula1>0</formula1>
    </dataValidation>
    <dataValidation type="list" allowBlank="1" showInputMessage="1" sqref="A63:A81">
      <formula1>CostList</formula1>
    </dataValidation>
    <dataValidation type="list" allowBlank="1" showInputMessage="1" showErrorMessage="1" sqref="B56:B81 B8:B46">
      <formula1>AcCord</formula1>
    </dataValidation>
    <dataValidation type="list" allowBlank="1" showInputMessage="1" showErrorMessage="1" sqref="C56:C81">
      <formula1>Alan2</formula1>
    </dataValidation>
    <dataValidation type="list" allowBlank="1" showInputMessage="1" sqref="A58:A62 A35:A46">
      <formula1>'[1]#REF'!#REF!</formula1>
    </dataValidation>
    <dataValidation type="list" allowBlank="1" showInputMessage="1" showErrorMessage="1" sqref="B56:B81">
      <formula1>'Look Up'!A55:A59</formula1>
    </dataValidation>
    <dataValidation type="list" allowBlank="1" showInputMessage="1" showErrorMessage="1" sqref="B8:B46">
      <formula1>'Look Up'!A5:A9</formula1>
    </dataValidation>
    <dataValidation type="list" allowBlank="1" showInputMessage="1" showErrorMessage="1" sqref="BA1:BA2">
      <formula1>'Look Up'!A5:A7</formula1>
    </dataValidation>
  </dataValidations>
  <pageMargins left="0.7" right="0.7" top="0.75" bottom="0.75" header="0.3" footer="0.3"/>
  <pageSetup paperSize="8" scale="60" orientation="landscape"/>
  <headerFooter scaleWithDoc="1" alignWithMargins="0" differentFirst="0" differentOddEven="0"/>
  <extLst/>
</worksheet>
</file>

<file path=xl/worksheets/sheet1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2">
    <tabColor rgb="FFFF0000"/>
  </sheetPr>
  <dimension ref="A1:BU92"/>
  <sheetViews>
    <sheetView topLeftCell="A1" zoomScale="80" view="normal" workbookViewId="0">
      <pane xSplit="1" ySplit="7" topLeftCell="B8" activePane="bottomRight" state="frozen"/>
      <selection pane="bottomRight" activeCell="D1" sqref="D1"/>
    </sheetView>
  </sheetViews>
  <sheetFormatPr defaultColWidth="9.1796875" defaultRowHeight="13"/>
  <cols>
    <col min="1" max="1" width="52.140625" style="6" customWidth="1"/>
    <col min="2" max="2" width="22.27734375" style="6" customWidth="1"/>
    <col min="3" max="4" width="11.7109375" style="6" customWidth="1"/>
    <col min="5" max="5" width="11.27734375" style="6" customWidth="1"/>
    <col min="6" max="6" width="10.84765625" style="6" customWidth="1"/>
    <col min="7" max="7" width="18.140625" style="6" customWidth="1"/>
    <col min="8" max="8" width="13.84765625" style="6" customWidth="1"/>
    <col min="9" max="43" width="11.27734375" style="6" customWidth="1"/>
    <col min="44" max="44" width="15.27734375" style="6" customWidth="1"/>
    <col min="45" max="47" width="12.84765625" style="6" customWidth="1"/>
    <col min="48" max="48" width="12.41796875" style="6" customWidth="1"/>
    <col min="49" max="49" width="9.27734375" style="6" customWidth="1"/>
    <col min="50" max="52" width="9.140625" style="6" customWidth="1"/>
    <col min="53" max="73" width="9.140625" style="6" hidden="1" customWidth="1"/>
    <col min="74" max="16384" width="9.140625" style="6" customWidth="1"/>
  </cols>
  <sheetData>
    <row r="1" spans="1:48" ht="26.25" customHeight="1">
      <c r="A1" s="25" t="s">
        <v>52</v>
      </c>
      <c r="B1" s="182"/>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row>
    <row r="2" spans="1:48" ht="20.25" customHeight="1">
      <c r="A2" s="24">
        <f>AV47+AV82</f>
        <v>0</v>
      </c>
      <c r="B2" s="13" t="b">
        <f>A2=AR92</f>
        <v>1</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row>
    <row r="3" spans="1:48" ht="18.75" customHeight="1">
      <c r="A3" s="50">
        <f>H92</f>
        <v>0</v>
      </c>
      <c r="B3" s="184" t="s">
        <v>45</v>
      </c>
      <c r="C3" s="185"/>
      <c r="D3" s="185"/>
      <c r="E3" s="185"/>
      <c r="F3" s="185"/>
      <c r="G3" s="186"/>
      <c r="H3" s="185"/>
      <c r="I3" s="185"/>
      <c r="J3" s="185"/>
      <c r="K3" s="183"/>
      <c r="L3" s="183"/>
      <c r="M3" s="185"/>
      <c r="N3" s="185"/>
      <c r="O3" s="183"/>
      <c r="P3" s="183"/>
      <c r="Q3" s="183"/>
      <c r="R3" s="183"/>
      <c r="S3" s="183"/>
      <c r="T3" s="183"/>
      <c r="U3" s="183"/>
      <c r="V3" s="183"/>
      <c r="W3" s="183"/>
      <c r="X3" s="183"/>
      <c r="Y3" s="183"/>
      <c r="Z3" s="183"/>
      <c r="AA3" s="183"/>
      <c r="AB3" s="183"/>
      <c r="AC3" s="183"/>
      <c r="AD3" s="183"/>
      <c r="AE3" s="183"/>
      <c r="AF3" s="185"/>
      <c r="AG3" s="185"/>
      <c r="AH3" s="183"/>
      <c r="AI3" s="183"/>
      <c r="AJ3" s="183"/>
      <c r="AK3" s="183"/>
      <c r="AL3" s="183"/>
      <c r="AM3" s="183"/>
      <c r="AN3" s="183"/>
      <c r="AO3" s="183"/>
      <c r="AP3" s="183"/>
      <c r="AQ3" s="183"/>
      <c r="AR3" s="183"/>
      <c r="AS3" s="183"/>
      <c r="AT3" s="183"/>
      <c r="AU3" s="183"/>
      <c r="AV3" s="183"/>
    </row>
    <row r="4" spans="1:33" s="183" customFormat="1" ht="27" customHeight="1">
      <c r="A4" s="705" t="s">
        <v>2291</v>
      </c>
      <c r="B4" s="706">
        <f>SUMIFS(AU8:AU46,B8:B46,"Research Cost A")+SUMIFS(AU56:AU82,B56:B82,"Research Cost A")+SUMIFS(AU8:AU46,B8:B46,"Research Cost B")+SUMIFS(AU56:AU82,B56:B82,"Research Cost B")</f>
        <v>0</v>
      </c>
      <c r="D4" s="185"/>
      <c r="E4" s="185"/>
      <c r="F4" s="185"/>
      <c r="G4" s="186"/>
      <c r="H4" s="185"/>
      <c r="I4" s="185"/>
      <c r="J4" s="185"/>
      <c r="M4" s="185"/>
      <c r="N4" s="185"/>
      <c r="AF4" s="185"/>
      <c r="AG4" s="185"/>
    </row>
    <row r="5" spans="1:48" ht="28.5" customHeight="1">
      <c r="A5" s="22" t="s">
        <v>23</v>
      </c>
      <c r="B5" s="187"/>
      <c r="C5" s="185"/>
      <c r="D5" s="185"/>
      <c r="E5" s="185"/>
      <c r="F5" s="185"/>
      <c r="G5" s="188"/>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3:42">
      <c r="C6" s="7"/>
      <c r="D6" s="7"/>
      <c r="E6" s="7"/>
      <c r="F6" s="7"/>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row>
    <row r="7" spans="1:72" s="11" customFormat="1" ht="39">
      <c r="A7" s="453" t="s">
        <v>0</v>
      </c>
      <c r="B7" s="430" t="s">
        <v>2059</v>
      </c>
      <c r="C7" s="430" t="s">
        <v>1968</v>
      </c>
      <c r="D7" s="430" t="s">
        <v>1969</v>
      </c>
      <c r="E7" s="430" t="s">
        <v>9</v>
      </c>
      <c r="F7" s="430" t="s">
        <v>8</v>
      </c>
      <c r="G7" s="10" t="s">
        <v>2</v>
      </c>
      <c r="H7" s="430" t="s">
        <v>58</v>
      </c>
      <c r="I7" s="430" t="s">
        <v>56</v>
      </c>
      <c r="J7" s="430" t="s">
        <v>15</v>
      </c>
      <c r="K7" s="430" t="s">
        <v>16</v>
      </c>
      <c r="L7" s="430" t="s">
        <v>57</v>
      </c>
      <c r="M7" s="430" t="s">
        <v>17</v>
      </c>
      <c r="N7" s="430" t="s">
        <v>18</v>
      </c>
      <c r="O7" s="430" t="s">
        <v>39</v>
      </c>
      <c r="P7" s="430" t="s">
        <v>61</v>
      </c>
      <c r="Q7" s="430" t="s">
        <v>1860</v>
      </c>
      <c r="R7" s="430" t="s">
        <v>1861</v>
      </c>
      <c r="S7" s="430" t="s">
        <v>1862</v>
      </c>
      <c r="T7" s="430" t="s">
        <v>1863</v>
      </c>
      <c r="U7" s="430" t="s">
        <v>1864</v>
      </c>
      <c r="V7" s="430" t="s">
        <v>1865</v>
      </c>
      <c r="W7" s="430" t="s">
        <v>1866</v>
      </c>
      <c r="X7" s="430" t="s">
        <v>1867</v>
      </c>
      <c r="Y7" s="430" t="s">
        <v>1868</v>
      </c>
      <c r="Z7" s="430" t="s">
        <v>1869</v>
      </c>
      <c r="AA7" s="430" t="s">
        <v>1870</v>
      </c>
      <c r="AB7" s="430" t="s">
        <v>1902</v>
      </c>
      <c r="AC7" s="430" t="s">
        <v>1903</v>
      </c>
      <c r="AD7" s="430" t="s">
        <v>1904</v>
      </c>
      <c r="AE7" s="430" t="s">
        <v>1948</v>
      </c>
      <c r="AF7" s="430" t="s">
        <v>1949</v>
      </c>
      <c r="AG7" s="430" t="s">
        <v>1950</v>
      </c>
      <c r="AH7" s="430" t="s">
        <v>1951</v>
      </c>
      <c r="AI7" s="430" t="s">
        <v>1952</v>
      </c>
      <c r="AJ7" s="430" t="s">
        <v>1953</v>
      </c>
      <c r="AK7" s="430" t="s">
        <v>1954</v>
      </c>
      <c r="AL7" s="430" t="s">
        <v>1955</v>
      </c>
      <c r="AM7" s="430" t="s">
        <v>1956</v>
      </c>
      <c r="AN7" s="430" t="s">
        <v>1957</v>
      </c>
      <c r="AO7" s="430" t="s">
        <v>1958</v>
      </c>
      <c r="AP7" s="430" t="s">
        <v>1959</v>
      </c>
      <c r="AQ7" s="434"/>
      <c r="AR7" s="439" t="s">
        <v>3</v>
      </c>
      <c r="AS7" s="439" t="s">
        <v>5</v>
      </c>
      <c r="AT7" s="439" t="s">
        <v>1852</v>
      </c>
      <c r="AU7" s="439" t="s">
        <v>2251</v>
      </c>
      <c r="AV7" s="439" t="s">
        <v>2252</v>
      </c>
      <c r="BC7" s="9" t="s">
        <v>3</v>
      </c>
      <c r="BD7" s="9" t="s">
        <v>5</v>
      </c>
      <c r="BE7" s="9" t="s">
        <v>1852</v>
      </c>
      <c r="BF7" s="9" t="s">
        <v>4</v>
      </c>
      <c r="BG7" s="11" t="s">
        <v>1983</v>
      </c>
      <c r="BH7" s="11" t="s">
        <v>2021</v>
      </c>
      <c r="BI7" s="11" t="s">
        <v>2022</v>
      </c>
      <c r="BJ7" s="11" t="s">
        <v>1984</v>
      </c>
      <c r="BL7" s="11" t="s">
        <v>1968</v>
      </c>
      <c r="BM7" s="11" t="s">
        <v>1969</v>
      </c>
      <c r="BN7" s="11" t="s">
        <v>9</v>
      </c>
      <c r="BO7" s="11" t="s">
        <v>8</v>
      </c>
      <c r="BQ7" s="11" t="s">
        <v>1968</v>
      </c>
      <c r="BR7" s="11" t="s">
        <v>1969</v>
      </c>
      <c r="BS7" s="11" t="s">
        <v>9</v>
      </c>
      <c r="BT7" s="11" t="s">
        <v>8</v>
      </c>
    </row>
    <row r="8" spans="1:72">
      <c r="A8" s="8"/>
      <c r="B8" s="8"/>
      <c r="C8" s="326"/>
      <c r="D8" s="326"/>
      <c r="E8" s="326"/>
      <c r="F8" s="326"/>
      <c r="G8" s="532">
        <f>IF(ISERROR((C8*'Study Information &amp; rates'!$B$101+D8*'Study Information &amp; rates'!$C$101+E8*'Study Information &amp; rates'!$D$101+F8*'Study Information &amp; rates'!$F$101)),0,(C8*'Study Information &amp; rates'!$B$101+D8*'Study Information &amp; rates'!$C$101+E8*'Study Information &amp; rates'!$D$101+F8*'Study Information &amp; rates'!$F$101))</f>
        <v>0</v>
      </c>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428"/>
      <c r="AR8" s="440">
        <f>(SUM(H8:AP8))*G8</f>
        <v>0</v>
      </c>
      <c r="AS8" s="440">
        <f>IF('Study Information &amp; rates'!$B$44="Yes",AR8*0.287,0)</f>
        <v>0</v>
      </c>
      <c r="AT8" s="440">
        <f>IF('Study Information &amp; rates'!$B$44="No",0,AR8*0.05)</f>
        <v>0</v>
      </c>
      <c r="AU8" s="440">
        <f>AR8+AS8+AT8</f>
        <v>0</v>
      </c>
      <c r="AV8" s="440">
        <f>'Set-up and other costs'!$B$18*AU8</f>
        <v>0</v>
      </c>
      <c r="BC8" s="2">
        <f>H8*G8</f>
        <v>0</v>
      </c>
      <c r="BD8" s="2">
        <f>IF('Study Information &amp; rates'!$B$44='Study Information &amp; rates'!$V$12,BC8*0.287,0)</f>
        <v>0</v>
      </c>
      <c r="BE8" s="2">
        <f>IF((Reconciliation!$C$15)&gt;5000,BC8*0.05,0)</f>
        <v>0</v>
      </c>
      <c r="BF8" s="2">
        <f>BC8+BD8+BE8</f>
        <v>0</v>
      </c>
      <c r="BG8" s="6" t="b">
        <f>IF($B8='Look Up'!$A$5,$H8)</f>
        <v>0</v>
      </c>
      <c r="BH8" s="6" t="b">
        <f>IF($B8='Look Up'!$A$6,$H8)</f>
        <v>0</v>
      </c>
      <c r="BI8" s="6" t="b">
        <f>IF($B8='Look Up'!$A$7,$H8)</f>
        <v>0</v>
      </c>
      <c r="BJ8" s="6" t="b">
        <f>IF($B8='Look Up'!$A$7,$H8)</f>
        <v>0</v>
      </c>
      <c r="BL8" s="6">
        <f>IF($B8='Look Up'!$A$6,$C8*$H8,0)+IF($B8='Look Up'!$A$7,$C8*$H8,0)</f>
        <v>0</v>
      </c>
      <c r="BM8" s="6">
        <f>IF($B8='Look Up'!$A$6,$D8*$H8,0)+IF($B8='Look Up'!$A$7,$D8*$H8,0)</f>
        <v>0</v>
      </c>
      <c r="BN8" s="6">
        <f>IF($B8='Look Up'!$A$6,$E8*$H8,0)+IF($B8='Look Up'!$A$7,$E8*$H8,0)</f>
        <v>0</v>
      </c>
      <c r="BO8" s="6">
        <f>IF($B8='Look Up'!$A$6,$F8*$H8,0)+IF($B8='Look Up'!$A$7,$F8*$H8,0)</f>
        <v>0</v>
      </c>
      <c r="BQ8" s="6">
        <f>$C8*'Study Information &amp; rates'!$B$101*IF('Study Information &amp; rates'!$B$44='Study Information &amp; rates'!$V$12,(SUM($H8:$AP8)*1.287),(SUM($H8:$AP8)))</f>
        <v>0</v>
      </c>
      <c r="BR8" s="6">
        <f>$D8*'Study Information &amp; rates'!$C$101*IF('Study Information &amp; rates'!$B$44='Study Information &amp; rates'!$V$12,(SUM($H8:$AP8)*1.287),(SUM($H8:$AP8)))</f>
        <v>0</v>
      </c>
      <c r="BS8" s="6">
        <f>$E8*'Study Information &amp; rates'!$D$101*IF('Study Information &amp; rates'!$B$44='Study Information &amp; rates'!$V$12,(SUM($H8:$AP8)*1.287),(SUM($H8:$AP8)))</f>
        <v>0</v>
      </c>
      <c r="BT8" s="6">
        <f>$F8*'Study Information &amp; rates'!$F$101*IF('Study Information &amp; rates'!$B$44='Study Information &amp; rates'!$V$12,(SUM($H8:$AP8)*1.287),(SUM($H8:$AP8)))</f>
        <v>0</v>
      </c>
    </row>
    <row r="9" spans="1:72">
      <c r="A9" s="8"/>
      <c r="B9" s="8"/>
      <c r="C9" s="326"/>
      <c r="D9" s="326"/>
      <c r="E9" s="326"/>
      <c r="F9" s="326"/>
      <c r="G9" s="532">
        <f>IF(ISERROR((C9*'Study Information &amp; rates'!$B$101+D9*'Study Information &amp; rates'!$C$101+E9*'Study Information &amp; rates'!$D$101+F9*'Study Information &amp; rates'!$F$101)),0,(C9*'Study Information &amp; rates'!$B$101+D9*'Study Information &amp; rates'!$C$101+E9*'Study Information &amp; rates'!$D$101+F9*'Study Information &amp; rates'!$F$101))</f>
        <v>0</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428"/>
      <c r="AR9" s="440">
        <f>(SUM(H9:AP9))*G9</f>
        <v>0</v>
      </c>
      <c r="AS9" s="440">
        <f>IF('Study Information &amp; rates'!$B$44="Yes",AR9*0.287,0)</f>
        <v>0</v>
      </c>
      <c r="AT9" s="440">
        <f>IF('Study Information &amp; rates'!$B$44="No",0,AR9*0.05)</f>
        <v>0</v>
      </c>
      <c r="AU9" s="440">
        <f>AR9+AS9+AT9</f>
        <v>0</v>
      </c>
      <c r="AV9" s="440">
        <f>'Set-up and other costs'!$B$18*AU9</f>
        <v>0</v>
      </c>
      <c r="BC9" s="2">
        <f>H9*G9</f>
        <v>0</v>
      </c>
      <c r="BD9" s="2">
        <f>IF('Study Information &amp; rates'!$B$44='Study Information &amp; rates'!$V$12,BC9*0.287,0)</f>
        <v>0</v>
      </c>
      <c r="BE9" s="2">
        <f>IF((Reconciliation!$C$15)&gt;5000,BC9*0.05,0)</f>
        <v>0</v>
      </c>
      <c r="BF9" s="2">
        <f>BC9+BD9+BE9</f>
        <v>0</v>
      </c>
      <c r="BG9" s="6" t="b">
        <f>IF($B9='Look Up'!$A$5,$H9)</f>
        <v>0</v>
      </c>
      <c r="BH9" s="6" t="b">
        <f>IF($B9='Look Up'!$A$6,$H9)</f>
        <v>0</v>
      </c>
      <c r="BI9" s="6" t="b">
        <f>IF($B9='Look Up'!$A$7,$H9)</f>
        <v>0</v>
      </c>
      <c r="BJ9" s="6" t="b">
        <f>IF($B9='Look Up'!$A$7,$H9)</f>
        <v>0</v>
      </c>
      <c r="BL9" s="6">
        <f>IF($B9='Look Up'!$A$6,$C9*$H9,0)+IF($B9='Look Up'!$A$7,$C9*$H9,0)</f>
        <v>0</v>
      </c>
      <c r="BM9" s="6">
        <f>IF($B9='Look Up'!$A$6,$D9*$H9,0)+IF($B9='Look Up'!$A$7,$D9*$H9,0)</f>
        <v>0</v>
      </c>
      <c r="BN9" s="6">
        <f>IF($B9='Look Up'!$A$6,$E9*$H9,0)+IF($B9='Look Up'!$A$7,$E9*$H9,0)</f>
        <v>0</v>
      </c>
      <c r="BO9" s="6">
        <f>IF($B9='Look Up'!$A$6,$F9*$H9,0)+IF($B9='Look Up'!$A$7,$F9*$H9,0)</f>
        <v>0</v>
      </c>
      <c r="BQ9" s="6">
        <f>$C9*'Study Information &amp; rates'!$B$101*IF('Study Information &amp; rates'!$B$44='Study Information &amp; rates'!$V$12,(SUM($H9:$AP9)*1.287),(SUM($H9:$AP9)))</f>
        <v>0</v>
      </c>
      <c r="BR9" s="6">
        <f>$D9*'Study Information &amp; rates'!$C$101*IF('Study Information &amp; rates'!$B$44='Study Information &amp; rates'!$V$12,(SUM($H9:$AP9)*1.287),(SUM($H9:$AP9)))</f>
        <v>0</v>
      </c>
      <c r="BS9" s="6">
        <f>$E9*'Study Information &amp; rates'!$D$101*IF('Study Information &amp; rates'!$B$44='Study Information &amp; rates'!$V$12,(SUM($H9:$AP9)*1.287),(SUM($H9:$AP9)))</f>
        <v>0</v>
      </c>
      <c r="BT9" s="6">
        <f>$F9*'Study Information &amp; rates'!$F$101*IF('Study Information &amp; rates'!$B$44='Study Information &amp; rates'!$V$12,(SUM($H9:$AP9)*1.287),(SUM($H9:$AP9)))</f>
        <v>0</v>
      </c>
    </row>
    <row r="10" spans="1:72">
      <c r="A10" s="8"/>
      <c r="B10" s="8"/>
      <c r="C10" s="326"/>
      <c r="D10" s="326"/>
      <c r="E10" s="326"/>
      <c r="F10" s="326"/>
      <c r="G10" s="532">
        <f>IF(ISERROR((C10*'Study Information &amp; rates'!$B$101+D10*'Study Information &amp; rates'!$C$101+E10*'Study Information &amp; rates'!$D$101+F10*'Study Information &amp; rates'!$F$101)),0,(C10*'Study Information &amp; rates'!$B$101+D10*'Study Information &amp; rates'!$C$101+E10*'Study Information &amp; rates'!$D$101+F10*'Study Information &amp; rates'!$F$101))</f>
        <v>0</v>
      </c>
      <c r="H10" s="8"/>
      <c r="I10" s="8"/>
      <c r="J10" s="8"/>
      <c r="K10" s="8"/>
      <c r="L10" s="8"/>
      <c r="M10" s="8"/>
      <c r="N10" s="8"/>
      <c r="O10" s="8"/>
      <c r="P10" s="327"/>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428"/>
      <c r="AR10" s="440">
        <f>(SUM(H10:AP10))*G10</f>
        <v>0</v>
      </c>
      <c r="AS10" s="440">
        <f>IF('Study Information &amp; rates'!$B$44="Yes",AR10*0.287,0)</f>
        <v>0</v>
      </c>
      <c r="AT10" s="440">
        <f>IF('Study Information &amp; rates'!$B$44="No",0,AR10*0.05)</f>
        <v>0</v>
      </c>
      <c r="AU10" s="440">
        <f>AR10+AS10+AT10</f>
        <v>0</v>
      </c>
      <c r="AV10" s="440">
        <f>'Set-up and other costs'!$B$18*AU10</f>
        <v>0</v>
      </c>
      <c r="BC10" s="2">
        <f>H10*G10</f>
        <v>0</v>
      </c>
      <c r="BD10" s="2">
        <f>IF('Study Information &amp; rates'!$B$44='Study Information &amp; rates'!$V$12,BC10*0.287,0)</f>
        <v>0</v>
      </c>
      <c r="BE10" s="2">
        <f>IF((Reconciliation!$C$15)&gt;5000,BC10*0.05,0)</f>
        <v>0</v>
      </c>
      <c r="BF10" s="2">
        <f>BC10+BD10+BE10</f>
        <v>0</v>
      </c>
      <c r="BG10" s="6" t="b">
        <f>IF($B10='Look Up'!$A$5,$H10)</f>
        <v>0</v>
      </c>
      <c r="BH10" s="6" t="b">
        <f>IF($B10='Look Up'!$A$6,$H10)</f>
        <v>0</v>
      </c>
      <c r="BI10" s="6" t="b">
        <f>IF($B10='Look Up'!$A$7,$H10)</f>
        <v>0</v>
      </c>
      <c r="BJ10" s="6" t="b">
        <f>IF($B10='Look Up'!$A$7,$H10)</f>
        <v>0</v>
      </c>
      <c r="BL10" s="6">
        <f>IF($B10='Look Up'!$A$6,$C10*$H10,0)+IF($B10='Look Up'!$A$7,$C10*$H10,0)</f>
        <v>0</v>
      </c>
      <c r="BM10" s="6">
        <f>IF($B10='Look Up'!$A$6,$D10*$H10,0)+IF($B10='Look Up'!$A$7,$D10*$H10,0)</f>
        <v>0</v>
      </c>
      <c r="BN10" s="6">
        <f>IF($B10='Look Up'!$A$6,$E10*$H10,0)+IF($B10='Look Up'!$A$7,$E10*$H10,0)</f>
        <v>0</v>
      </c>
      <c r="BO10" s="6">
        <f>IF($B10='Look Up'!$A$6,$F10*$H10,0)+IF($B10='Look Up'!$A$7,$F10*$H10,0)</f>
        <v>0</v>
      </c>
      <c r="BQ10" s="6">
        <f>$C10*'Study Information &amp; rates'!$B$101*IF('Study Information &amp; rates'!$B$44='Study Information &amp; rates'!$V$12,(SUM($H10:$AP10)*1.287),(SUM($H10:$AP10)))</f>
        <v>0</v>
      </c>
      <c r="BR10" s="6">
        <f>$D10*'Study Information &amp; rates'!$C$101*IF('Study Information &amp; rates'!$B$44='Study Information &amp; rates'!$V$12,(SUM($H10:$AP10)*1.287),(SUM($H10:$AP10)))</f>
        <v>0</v>
      </c>
      <c r="BS10" s="6">
        <f>$E10*'Study Information &amp; rates'!$D$101*IF('Study Information &amp; rates'!$B$44='Study Information &amp; rates'!$V$12,(SUM($H10:$AP10)*1.287),(SUM($H10:$AP10)))</f>
        <v>0</v>
      </c>
      <c r="BT10" s="6">
        <f>$F10*'Study Information &amp; rates'!$F$101*IF('Study Information &amp; rates'!$B$44='Study Information &amp; rates'!$V$12,(SUM($H10:$AP10)*1.287),(SUM($H10:$AP10)))</f>
        <v>0</v>
      </c>
    </row>
    <row r="11" spans="1:72">
      <c r="A11" s="8"/>
      <c r="B11" s="8"/>
      <c r="C11" s="326"/>
      <c r="D11" s="326"/>
      <c r="E11" s="326"/>
      <c r="F11" s="326"/>
      <c r="G11" s="532">
        <f>IF(ISERROR((C11*'Study Information &amp; rates'!$B$101+D11*'Study Information &amp; rates'!$C$101+E11*'Study Information &amp; rates'!$D$101+F11*'Study Information &amp; rates'!$F$101)),0,(C11*'Study Information &amp; rates'!$B$101+D11*'Study Information &amp; rates'!$C$101+E11*'Study Information &amp; rates'!$D$101+F11*'Study Information &amp; rates'!$F$101))</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428"/>
      <c r="AR11" s="440">
        <f>(SUM(H11:AP11))*G11</f>
        <v>0</v>
      </c>
      <c r="AS11" s="440">
        <f>IF('Study Information &amp; rates'!$B$44="Yes",AR11*0.287,0)</f>
        <v>0</v>
      </c>
      <c r="AT11" s="440">
        <f>IF('Study Information &amp; rates'!$B$44="No",0,AR11*0.05)</f>
        <v>0</v>
      </c>
      <c r="AU11" s="440">
        <f>AR11+AS11+AT11</f>
        <v>0</v>
      </c>
      <c r="AV11" s="440">
        <f>'Set-up and other costs'!$B$18*AU11</f>
        <v>0</v>
      </c>
      <c r="BC11" s="2">
        <f>H11*G11</f>
        <v>0</v>
      </c>
      <c r="BD11" s="2">
        <f>IF('Study Information &amp; rates'!$B$44='Study Information &amp; rates'!$V$12,BC11*0.287,0)</f>
        <v>0</v>
      </c>
      <c r="BE11" s="2">
        <f>IF((Reconciliation!$C$15)&gt;5000,BC11*0.05,0)</f>
        <v>0</v>
      </c>
      <c r="BF11" s="2">
        <f>BC11+BD11+BE11</f>
        <v>0</v>
      </c>
      <c r="BG11" s="6" t="b">
        <f>IF($B11='Look Up'!$A$5,$H11)</f>
        <v>0</v>
      </c>
      <c r="BH11" s="6" t="b">
        <f>IF($B11='Look Up'!$A$6,$H11)</f>
        <v>0</v>
      </c>
      <c r="BI11" s="6" t="b">
        <f>IF($B11='Look Up'!$A$7,$H11)</f>
        <v>0</v>
      </c>
      <c r="BJ11" s="6" t="b">
        <f>IF($B11='Look Up'!$A$7,$H11)</f>
        <v>0</v>
      </c>
      <c r="BL11" s="6">
        <f>IF($B11='Look Up'!$A$6,$C11*$H11,0)+IF($B11='Look Up'!$A$7,$C11*$H11,0)</f>
        <v>0</v>
      </c>
      <c r="BM11" s="6">
        <f>IF($B11='Look Up'!$A$6,$D11*$H11,0)+IF($B11='Look Up'!$A$7,$D11*$H11,0)</f>
        <v>0</v>
      </c>
      <c r="BN11" s="6">
        <f>IF($B11='Look Up'!$A$6,$E11*$H11,0)+IF($B11='Look Up'!$A$7,$E11*$H11,0)</f>
        <v>0</v>
      </c>
      <c r="BO11" s="6">
        <f>IF($B11='Look Up'!$A$6,$F11*$H11,0)+IF($B11='Look Up'!$A$7,$F11*$H11,0)</f>
        <v>0</v>
      </c>
      <c r="BQ11" s="6">
        <f>$C11*'Study Information &amp; rates'!$B$101*IF('Study Information &amp; rates'!$B$44='Study Information &amp; rates'!$V$12,(SUM($H11:$AP11)*1.287),(SUM($H11:$AP11)))</f>
        <v>0</v>
      </c>
      <c r="BR11" s="6">
        <f>$D11*'Study Information &amp; rates'!$C$101*IF('Study Information &amp; rates'!$B$44='Study Information &amp; rates'!$V$12,(SUM($H11:$AP11)*1.287),(SUM($H11:$AP11)))</f>
        <v>0</v>
      </c>
      <c r="BS11" s="6">
        <f>$E11*'Study Information &amp; rates'!$D$101*IF('Study Information &amp; rates'!$B$44='Study Information &amp; rates'!$V$12,(SUM($H11:$AP11)*1.287),(SUM($H11:$AP11)))</f>
        <v>0</v>
      </c>
      <c r="BT11" s="6">
        <f>$F11*'Study Information &amp; rates'!$F$101*IF('Study Information &amp; rates'!$B$44='Study Information &amp; rates'!$V$12,(SUM($H11:$AP11)*1.287),(SUM($H11:$AP11)))</f>
        <v>0</v>
      </c>
    </row>
    <row r="12" spans="1:72">
      <c r="A12" s="8"/>
      <c r="B12" s="8"/>
      <c r="C12" s="326"/>
      <c r="D12" s="326"/>
      <c r="E12" s="326"/>
      <c r="F12" s="326"/>
      <c r="G12" s="532">
        <f>IF(ISERROR((C12*'Study Information &amp; rates'!$B$101+D12*'Study Information &amp; rates'!$C$101+E12*'Study Information &amp; rates'!$D$101+F12*'Study Information &amp; rates'!$F$101)),0,(C12*'Study Information &amp; rates'!$B$101+D12*'Study Information &amp; rates'!$C$101+E12*'Study Information &amp; rates'!$D$101+F12*'Study Information &amp; rates'!$F$101))</f>
        <v>0</v>
      </c>
      <c r="H12" s="8"/>
      <c r="I12" s="44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428"/>
      <c r="AR12" s="440">
        <f>(SUM(H12:AP12))*G12</f>
        <v>0</v>
      </c>
      <c r="AS12" s="440">
        <f>IF('Study Information &amp; rates'!$B$44="Yes",AR12*0.287,0)</f>
        <v>0</v>
      </c>
      <c r="AT12" s="440">
        <f>IF('Study Information &amp; rates'!$B$44="No",0,AR12*0.05)</f>
        <v>0</v>
      </c>
      <c r="AU12" s="440">
        <f>AR12+AS12+AT12</f>
        <v>0</v>
      </c>
      <c r="AV12" s="440">
        <f>'Set-up and other costs'!$B$18*AU12</f>
        <v>0</v>
      </c>
      <c r="BC12" s="2">
        <f>H12*G12</f>
        <v>0</v>
      </c>
      <c r="BD12" s="2">
        <f>IF('Study Information &amp; rates'!$B$44='Study Information &amp; rates'!$V$12,BC12*0.287,0)</f>
        <v>0</v>
      </c>
      <c r="BE12" s="2">
        <f>IF((Reconciliation!$C$15)&gt;5000,BC12*0.05,0)</f>
        <v>0</v>
      </c>
      <c r="BF12" s="2">
        <f>BC12+BD12+BE12</f>
        <v>0</v>
      </c>
      <c r="BG12" s="6" t="b">
        <f>IF($B12='Look Up'!$A$5,$H12)</f>
        <v>0</v>
      </c>
      <c r="BH12" s="6" t="b">
        <f>IF($B12='Look Up'!$A$6,$H12)</f>
        <v>0</v>
      </c>
      <c r="BI12" s="6" t="b">
        <f>IF($B12='Look Up'!$A$7,$H12)</f>
        <v>0</v>
      </c>
      <c r="BJ12" s="6" t="b">
        <f>IF($B12='Look Up'!$A$7,$H12)</f>
        <v>0</v>
      </c>
      <c r="BL12" s="6">
        <f>IF($B12='Look Up'!$A$6,$C12*$H12,0)+IF($B12='Look Up'!$A$7,$C12*$H12,0)</f>
        <v>0</v>
      </c>
      <c r="BM12" s="6">
        <f>IF($B12='Look Up'!$A$6,$D12*$H12,0)+IF($B12='Look Up'!$A$7,$D12*$H12,0)</f>
        <v>0</v>
      </c>
      <c r="BN12" s="6">
        <f>IF($B12='Look Up'!$A$6,$E12*$H12,0)+IF($B12='Look Up'!$A$7,$E12*$H12,0)</f>
        <v>0</v>
      </c>
      <c r="BO12" s="6">
        <f>IF($B12='Look Up'!$A$6,$F12*$H12,0)+IF($B12='Look Up'!$A$7,$F12*$H12,0)</f>
        <v>0</v>
      </c>
      <c r="BQ12" s="6">
        <f>$C12*'Study Information &amp; rates'!$B$101*IF('Study Information &amp; rates'!$B$44='Study Information &amp; rates'!$V$12,(SUM($H12:$AP12)*1.287),(SUM($H12:$AP12)))</f>
        <v>0</v>
      </c>
      <c r="BR12" s="6">
        <f>$D12*'Study Information &amp; rates'!$C$101*IF('Study Information &amp; rates'!$B$44='Study Information &amp; rates'!$V$12,(SUM($H12:$AP12)*1.287),(SUM($H12:$AP12)))</f>
        <v>0</v>
      </c>
      <c r="BS12" s="6">
        <f>$E12*'Study Information &amp; rates'!$D$101*IF('Study Information &amp; rates'!$B$44='Study Information &amp; rates'!$V$12,(SUM($H12:$AP12)*1.287),(SUM($H12:$AP12)))</f>
        <v>0</v>
      </c>
      <c r="BT12" s="6">
        <f>$F12*'Study Information &amp; rates'!$F$101*IF('Study Information &amp; rates'!$B$44='Study Information &amp; rates'!$V$12,(SUM($H12:$AP12)*1.287),(SUM($H12:$AP12)))</f>
        <v>0</v>
      </c>
    </row>
    <row r="13" spans="1:72">
      <c r="A13" s="8"/>
      <c r="B13" s="8"/>
      <c r="C13" s="326"/>
      <c r="D13" s="326"/>
      <c r="E13" s="326"/>
      <c r="F13" s="326"/>
      <c r="G13" s="532">
        <f>IF(ISERROR((C13*'Study Information &amp; rates'!$B$101+D13*'Study Information &amp; rates'!$C$101+E13*'Study Information &amp; rates'!$D$101+F13*'Study Information &amp; rates'!$F$101)),0,(C13*'Study Information &amp; rates'!$B$101+D13*'Study Information &amp; rates'!$C$101+E13*'Study Information &amp; rates'!$D$101+F13*'Study Information &amp; rates'!$F$101))</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428"/>
      <c r="AR13" s="440">
        <f>(SUM(H13:AP13))*G13</f>
        <v>0</v>
      </c>
      <c r="AS13" s="440">
        <f>IF('Study Information &amp; rates'!$B$44="Yes",AR13*0.287,0)</f>
        <v>0</v>
      </c>
      <c r="AT13" s="440">
        <f>IF('Study Information &amp; rates'!$B$44="No",0,AR13*0.05)</f>
        <v>0</v>
      </c>
      <c r="AU13" s="440">
        <f>AR13+AS13+AT13</f>
        <v>0</v>
      </c>
      <c r="AV13" s="440">
        <f>'Set-up and other costs'!$B$18*AU13</f>
        <v>0</v>
      </c>
      <c r="BC13" s="2">
        <f>H13*G13</f>
        <v>0</v>
      </c>
      <c r="BD13" s="2">
        <f>IF('Study Information &amp; rates'!$B$44='Study Information &amp; rates'!$V$12,BC13*0.287,0)</f>
        <v>0</v>
      </c>
      <c r="BE13" s="2">
        <f>IF((Reconciliation!$C$15)&gt;5000,BC13*0.05,0)</f>
        <v>0</v>
      </c>
      <c r="BF13" s="2">
        <f>BC13+BD13+BE13</f>
        <v>0</v>
      </c>
      <c r="BG13" s="6" t="b">
        <f>IF($B13='Look Up'!$A$5,$H13)</f>
        <v>0</v>
      </c>
      <c r="BH13" s="6" t="b">
        <f>IF($B13='Look Up'!$A$6,$H13)</f>
        <v>0</v>
      </c>
      <c r="BI13" s="6" t="b">
        <f>IF($B13='Look Up'!$A$7,$H13)</f>
        <v>0</v>
      </c>
      <c r="BJ13" s="6" t="b">
        <f>IF($B13='Look Up'!$A$7,$H13)</f>
        <v>0</v>
      </c>
      <c r="BL13" s="6">
        <f>IF($B13='Look Up'!$A$6,$C13*$H13,0)+IF($B13='Look Up'!$A$7,$C13*$H13,0)</f>
        <v>0</v>
      </c>
      <c r="BM13" s="6">
        <f>IF($B13='Look Up'!$A$6,$D13*$H13,0)+IF($B13='Look Up'!$A$7,$D13*$H13,0)</f>
        <v>0</v>
      </c>
      <c r="BN13" s="6">
        <f>IF($B13='Look Up'!$A$6,$E13*$H13,0)+IF($B13='Look Up'!$A$7,$E13*$H13,0)</f>
        <v>0</v>
      </c>
      <c r="BO13" s="6">
        <f>IF($B13='Look Up'!$A$6,$F13*$H13,0)+IF($B13='Look Up'!$A$7,$F13*$H13,0)</f>
        <v>0</v>
      </c>
      <c r="BQ13" s="6">
        <f>$C13*'Study Information &amp; rates'!$B$101*IF('Study Information &amp; rates'!$B$44='Study Information &amp; rates'!$V$12,(SUM($H13:$AP13)*1.287),(SUM($H13:$AP13)))</f>
        <v>0</v>
      </c>
      <c r="BR13" s="6">
        <f>$D13*'Study Information &amp; rates'!$C$101*IF('Study Information &amp; rates'!$B$44='Study Information &amp; rates'!$V$12,(SUM($H13:$AP13)*1.287),(SUM($H13:$AP13)))</f>
        <v>0</v>
      </c>
      <c r="BS13" s="6">
        <f>$E13*'Study Information &amp; rates'!$D$101*IF('Study Information &amp; rates'!$B$44='Study Information &amp; rates'!$V$12,(SUM($H13:$AP13)*1.287),(SUM($H13:$AP13)))</f>
        <v>0</v>
      </c>
      <c r="BT13" s="6">
        <f>$F13*'Study Information &amp; rates'!$F$101*IF('Study Information &amp; rates'!$B$44='Study Information &amp; rates'!$V$12,(SUM($H13:$AP13)*1.287),(SUM($H13:$AP13)))</f>
        <v>0</v>
      </c>
    </row>
    <row r="14" spans="1:72">
      <c r="A14" s="8"/>
      <c r="B14" s="8"/>
      <c r="C14" s="326"/>
      <c r="D14" s="326"/>
      <c r="E14" s="326"/>
      <c r="F14" s="326"/>
      <c r="G14" s="532">
        <f>IF(ISERROR((C14*'Study Information &amp; rates'!$B$101+D14*'Study Information &amp; rates'!$C$101+E14*'Study Information &amp; rates'!$D$101+F14*'Study Information &amp; rates'!$F$101)),0,(C14*'Study Information &amp; rates'!$B$101+D14*'Study Information &amp; rates'!$C$101+E14*'Study Information &amp; rates'!$D$101+F14*'Study Information &amp; rates'!$F$101))</f>
        <v>0</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428"/>
      <c r="AR14" s="440">
        <f>(SUM(H14:AP14))*G14</f>
        <v>0</v>
      </c>
      <c r="AS14" s="440">
        <f>IF('Study Information &amp; rates'!$B$44="Yes",AR14*0.287,0)</f>
        <v>0</v>
      </c>
      <c r="AT14" s="440">
        <f>IF('Study Information &amp; rates'!$B$44="No",0,AR14*0.05)</f>
        <v>0</v>
      </c>
      <c r="AU14" s="440">
        <f>AR14+AS14+AT14</f>
        <v>0</v>
      </c>
      <c r="AV14" s="440">
        <f>'Set-up and other costs'!$B$18*AU14</f>
        <v>0</v>
      </c>
      <c r="BC14" s="2">
        <f>H14*G14</f>
        <v>0</v>
      </c>
      <c r="BD14" s="2">
        <f>IF('Study Information &amp; rates'!$B$44='Study Information &amp; rates'!$V$12,BC14*0.287,0)</f>
        <v>0</v>
      </c>
      <c r="BE14" s="2">
        <f>IF((Reconciliation!$C$15)&gt;5000,BC14*0.05,0)</f>
        <v>0</v>
      </c>
      <c r="BF14" s="2">
        <f>BC14+BD14+BE14</f>
        <v>0</v>
      </c>
      <c r="BG14" s="6" t="b">
        <f>IF($B14='Look Up'!$A$5,$H14)</f>
        <v>0</v>
      </c>
      <c r="BH14" s="6" t="b">
        <f>IF($B14='Look Up'!$A$6,$H14)</f>
        <v>0</v>
      </c>
      <c r="BI14" s="6" t="b">
        <f>IF($B14='Look Up'!$A$7,$H14)</f>
        <v>0</v>
      </c>
      <c r="BJ14" s="6" t="b">
        <f>IF($B14='Look Up'!$A$7,$H14)</f>
        <v>0</v>
      </c>
      <c r="BL14" s="6">
        <f>IF($B14='Look Up'!$A$6,$C14*$H14,0)+IF($B14='Look Up'!$A$7,$C14*$H14,0)</f>
        <v>0</v>
      </c>
      <c r="BM14" s="6">
        <f>IF($B14='Look Up'!$A$6,$D14*$H14,0)+IF($B14='Look Up'!$A$7,$D14*$H14,0)</f>
        <v>0</v>
      </c>
      <c r="BN14" s="6">
        <f>IF($B14='Look Up'!$A$6,$E14*$H14,0)+IF($B14='Look Up'!$A$7,$E14*$H14,0)</f>
        <v>0</v>
      </c>
      <c r="BO14" s="6">
        <f>IF($B14='Look Up'!$A$6,$F14*$H14,0)+IF($B14='Look Up'!$A$7,$F14*$H14,0)</f>
        <v>0</v>
      </c>
      <c r="BQ14" s="6">
        <f>$C14*'Study Information &amp; rates'!$B$101*IF('Study Information &amp; rates'!$B$44='Study Information &amp; rates'!$V$12,(SUM($H14:$AP14)*1.287),(SUM($H14:$AP14)))</f>
        <v>0</v>
      </c>
      <c r="BR14" s="6">
        <f>$D14*'Study Information &amp; rates'!$C$101*IF('Study Information &amp; rates'!$B$44='Study Information &amp; rates'!$V$12,(SUM($H14:$AP14)*1.287),(SUM($H14:$AP14)))</f>
        <v>0</v>
      </c>
      <c r="BS14" s="6">
        <f>$E14*'Study Information &amp; rates'!$D$101*IF('Study Information &amp; rates'!$B$44='Study Information &amp; rates'!$V$12,(SUM($H14:$AP14)*1.287),(SUM($H14:$AP14)))</f>
        <v>0</v>
      </c>
      <c r="BT14" s="6">
        <f>$F14*'Study Information &amp; rates'!$F$101*IF('Study Information &amp; rates'!$B$44='Study Information &amp; rates'!$V$12,(SUM($H14:$AP14)*1.287),(SUM($H14:$AP14)))</f>
        <v>0</v>
      </c>
    </row>
    <row r="15" spans="1:72">
      <c r="A15" s="8"/>
      <c r="B15" s="8"/>
      <c r="C15" s="326"/>
      <c r="D15" s="326"/>
      <c r="E15" s="326"/>
      <c r="F15" s="326"/>
      <c r="G15" s="532">
        <f>IF(ISERROR((C15*'Study Information &amp; rates'!$B$101+D15*'Study Information &amp; rates'!$C$101+E15*'Study Information &amp; rates'!$D$101+F15*'Study Information &amp; rates'!$F$101)),0,(C15*'Study Information &amp; rates'!$B$101+D15*'Study Information &amp; rates'!$C$101+E15*'Study Information &amp; rates'!$D$101+F15*'Study Information &amp; rates'!$F$101))</f>
        <v>0</v>
      </c>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428"/>
      <c r="AR15" s="440">
        <f>(SUM(H15:AP15))*G15</f>
        <v>0</v>
      </c>
      <c r="AS15" s="440">
        <f>IF('Study Information &amp; rates'!$B$44="Yes",AR15*0.287,0)</f>
        <v>0</v>
      </c>
      <c r="AT15" s="440">
        <f>IF('Study Information &amp; rates'!$B$44="No",0,AR15*0.05)</f>
        <v>0</v>
      </c>
      <c r="AU15" s="440">
        <f>AR15+AS15+AT15</f>
        <v>0</v>
      </c>
      <c r="AV15" s="440">
        <f>'Set-up and other costs'!$B$18*AU15</f>
        <v>0</v>
      </c>
      <c r="BC15" s="2">
        <f>H15*G15</f>
        <v>0</v>
      </c>
      <c r="BD15" s="2">
        <f>IF('Study Information &amp; rates'!$B$44='Study Information &amp; rates'!$V$12,BC15*0.287,0)</f>
        <v>0</v>
      </c>
      <c r="BE15" s="2">
        <f>IF((Reconciliation!$C$15)&gt;5000,BC15*0.05,0)</f>
        <v>0</v>
      </c>
      <c r="BF15" s="2">
        <f>BC15+BD15+BE15</f>
        <v>0</v>
      </c>
      <c r="BG15" s="6" t="b">
        <f>IF($B15='Look Up'!$A$5,$H15)</f>
        <v>0</v>
      </c>
      <c r="BH15" s="6" t="b">
        <f>IF($B15='Look Up'!$A$6,$H15)</f>
        <v>0</v>
      </c>
      <c r="BI15" s="6" t="b">
        <f>IF($B15='Look Up'!$A$7,$H15)</f>
        <v>0</v>
      </c>
      <c r="BJ15" s="6" t="b">
        <f>IF($B15='Look Up'!$A$7,$H15)</f>
        <v>0</v>
      </c>
      <c r="BL15" s="6">
        <f>IF($B15='Look Up'!$A$6,$C15*$H15,0)+IF($B15='Look Up'!$A$7,$C15*$H15,0)</f>
        <v>0</v>
      </c>
      <c r="BM15" s="6">
        <f>IF($B15='Look Up'!$A$6,$D15*$H15,0)+IF($B15='Look Up'!$A$7,$D15*$H15,0)</f>
        <v>0</v>
      </c>
      <c r="BN15" s="6">
        <f>IF($B15='Look Up'!$A$6,$E15*$H15,0)+IF($B15='Look Up'!$A$7,$E15*$H15,0)</f>
        <v>0</v>
      </c>
      <c r="BO15" s="6">
        <f>IF($B15='Look Up'!$A$6,$F15*$H15,0)+IF($B15='Look Up'!$A$7,$F15*$H15,0)</f>
        <v>0</v>
      </c>
      <c r="BQ15" s="6">
        <f>$C15*'Study Information &amp; rates'!$B$101*IF('Study Information &amp; rates'!$B$44='Study Information &amp; rates'!$V$12,(SUM($H15:$AP15)*1.287),(SUM($H15:$AP15)))</f>
        <v>0</v>
      </c>
      <c r="BR15" s="6">
        <f>$D15*'Study Information &amp; rates'!$C$101*IF('Study Information &amp; rates'!$B$44='Study Information &amp; rates'!$V$12,(SUM($H15:$AP15)*1.287),(SUM($H15:$AP15)))</f>
        <v>0</v>
      </c>
      <c r="BS15" s="6">
        <f>$E15*'Study Information &amp; rates'!$D$101*IF('Study Information &amp; rates'!$B$44='Study Information &amp; rates'!$V$12,(SUM($H15:$AP15)*1.287),(SUM($H15:$AP15)))</f>
        <v>0</v>
      </c>
      <c r="BT15" s="6">
        <f>$F15*'Study Information &amp; rates'!$F$101*IF('Study Information &amp; rates'!$B$44='Study Information &amp; rates'!$V$12,(SUM($H15:$AP15)*1.287),(SUM($H15:$AP15)))</f>
        <v>0</v>
      </c>
    </row>
    <row r="16" spans="1:72">
      <c r="A16" s="8"/>
      <c r="B16" s="8"/>
      <c r="C16" s="326"/>
      <c r="D16" s="326"/>
      <c r="E16" s="326"/>
      <c r="F16" s="326"/>
      <c r="G16" s="532">
        <f>IF(ISERROR((C16*'Study Information &amp; rates'!$B$101+D16*'Study Information &amp; rates'!$C$101+E16*'Study Information &amp; rates'!$D$101+F16*'Study Information &amp; rates'!$F$101)),0,(C16*'Study Information &amp; rates'!$B$101+D16*'Study Information &amp; rates'!$C$101+E16*'Study Information &amp; rates'!$D$101+F16*'Study Information &amp; rates'!$F$101))</f>
        <v>0</v>
      </c>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428"/>
      <c r="AR16" s="440">
        <f>(SUM(H16:AP16))*G16</f>
        <v>0</v>
      </c>
      <c r="AS16" s="440">
        <f>IF('Study Information &amp; rates'!$B$44="Yes",AR16*0.287,0)</f>
        <v>0</v>
      </c>
      <c r="AT16" s="440">
        <f>IF('Study Information &amp; rates'!$B$44="No",0,AR16*0.05)</f>
        <v>0</v>
      </c>
      <c r="AU16" s="440">
        <f>AR16+AS16+AT16</f>
        <v>0</v>
      </c>
      <c r="AV16" s="440">
        <f>'Set-up and other costs'!$B$18*AU16</f>
        <v>0</v>
      </c>
      <c r="BC16" s="2">
        <f>H16*G16</f>
        <v>0</v>
      </c>
      <c r="BD16" s="2">
        <f>IF('Study Information &amp; rates'!$B$44='Study Information &amp; rates'!$V$12,BC16*0.287,0)</f>
        <v>0</v>
      </c>
      <c r="BE16" s="2">
        <f>IF((Reconciliation!$C$15)&gt;5000,BC16*0.05,0)</f>
        <v>0</v>
      </c>
      <c r="BF16" s="2">
        <f>BC16+BD16+BE16</f>
        <v>0</v>
      </c>
      <c r="BG16" s="6" t="b">
        <f>IF($B16='Look Up'!$A$5,$H16)</f>
        <v>0</v>
      </c>
      <c r="BH16" s="6" t="b">
        <f>IF($B16='Look Up'!$A$6,$H16)</f>
        <v>0</v>
      </c>
      <c r="BI16" s="6" t="b">
        <f>IF($B16='Look Up'!$A$7,$H16)</f>
        <v>0</v>
      </c>
      <c r="BJ16" s="6" t="b">
        <f>IF($B16='Look Up'!$A$7,$H16)</f>
        <v>0</v>
      </c>
      <c r="BL16" s="6">
        <f>IF($B16='Look Up'!$A$6,$C16*$H16,0)+IF($B16='Look Up'!$A$7,$C16*$H16,0)</f>
        <v>0</v>
      </c>
      <c r="BM16" s="6">
        <f>IF($B16='Look Up'!$A$6,$D16*$H16,0)+IF($B16='Look Up'!$A$7,$D16*$H16,0)</f>
        <v>0</v>
      </c>
      <c r="BN16" s="6">
        <f>IF($B16='Look Up'!$A$6,$E16*$H16,0)+IF($B16='Look Up'!$A$7,$E16*$H16,0)</f>
        <v>0</v>
      </c>
      <c r="BO16" s="6">
        <f>IF($B16='Look Up'!$A$6,$F16*$H16,0)+IF($B16='Look Up'!$A$7,$F16*$H16,0)</f>
        <v>0</v>
      </c>
      <c r="BQ16" s="6">
        <f>$C16*'Study Information &amp; rates'!$B$101*IF('Study Information &amp; rates'!$B$44='Study Information &amp; rates'!$V$12,(SUM($H16:$AP16)*1.287),(SUM($H16:$AP16)))</f>
        <v>0</v>
      </c>
      <c r="BR16" s="6">
        <f>$D16*'Study Information &amp; rates'!$C$101*IF('Study Information &amp; rates'!$B$44='Study Information &amp; rates'!$V$12,(SUM($H16:$AP16)*1.287),(SUM($H16:$AP16)))</f>
        <v>0</v>
      </c>
      <c r="BS16" s="6">
        <f>$E16*'Study Information &amp; rates'!$D$101*IF('Study Information &amp; rates'!$B$44='Study Information &amp; rates'!$V$12,(SUM($H16:$AP16)*1.287),(SUM($H16:$AP16)))</f>
        <v>0</v>
      </c>
      <c r="BT16" s="6">
        <f>$F16*'Study Information &amp; rates'!$F$101*IF('Study Information &amp; rates'!$B$44='Study Information &amp; rates'!$V$12,(SUM($H16:$AP16)*1.287),(SUM($H16:$AP16)))</f>
        <v>0</v>
      </c>
    </row>
    <row r="17" spans="1:72">
      <c r="A17" s="8"/>
      <c r="B17" s="8"/>
      <c r="C17" s="326"/>
      <c r="D17" s="326"/>
      <c r="E17" s="326"/>
      <c r="F17" s="326"/>
      <c r="G17" s="532">
        <f>IF(ISERROR((C17*'Study Information &amp; rates'!$B$101+D17*'Study Information &amp; rates'!$C$101+E17*'Study Information &amp; rates'!$D$101+F17*'Study Information &amp; rates'!$F$101)),0,(C17*'Study Information &amp; rates'!$B$101+D17*'Study Information &amp; rates'!$C$101+E17*'Study Information &amp; rates'!$D$101+F17*'Study Information &amp; rates'!$F$101))</f>
        <v>0</v>
      </c>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428"/>
      <c r="AR17" s="440">
        <f>(SUM(H17:AP17))*G17</f>
        <v>0</v>
      </c>
      <c r="AS17" s="440">
        <f>IF('Study Information &amp; rates'!$B$44="Yes",AR17*0.287,0)</f>
        <v>0</v>
      </c>
      <c r="AT17" s="440">
        <f>IF('Study Information &amp; rates'!$B$44="No",0,AR17*0.05)</f>
        <v>0</v>
      </c>
      <c r="AU17" s="440">
        <f>AR17+AS17+AT17</f>
        <v>0</v>
      </c>
      <c r="AV17" s="440">
        <f>'Set-up and other costs'!$B$18*AU17</f>
        <v>0</v>
      </c>
      <c r="BC17" s="2">
        <f>H17*G17</f>
        <v>0</v>
      </c>
      <c r="BD17" s="2">
        <f>IF('Study Information &amp; rates'!$B$44='Study Information &amp; rates'!$V$12,BC17*0.287,0)</f>
        <v>0</v>
      </c>
      <c r="BE17" s="2">
        <f>IF((Reconciliation!$C$15)&gt;5000,BC17*0.05,0)</f>
        <v>0</v>
      </c>
      <c r="BF17" s="2">
        <f>BC17+BD17+BE17</f>
        <v>0</v>
      </c>
      <c r="BG17" s="6" t="b">
        <f>IF($B17='Look Up'!$A$5,$H17)</f>
        <v>0</v>
      </c>
      <c r="BH17" s="6" t="b">
        <f>IF($B17='Look Up'!$A$6,$H17)</f>
        <v>0</v>
      </c>
      <c r="BI17" s="6" t="b">
        <f>IF($B17='Look Up'!$A$7,$H17)</f>
        <v>0</v>
      </c>
      <c r="BJ17" s="6" t="b">
        <f>IF($B17='Look Up'!$A$7,$H17)</f>
        <v>0</v>
      </c>
      <c r="BL17" s="6">
        <f>IF($B17='Look Up'!$A$6,$C17*$H17,0)+IF($B17='Look Up'!$A$7,$C17*$H17,0)</f>
        <v>0</v>
      </c>
      <c r="BM17" s="6">
        <f>IF($B17='Look Up'!$A$6,$D17*$H17,0)+IF($B17='Look Up'!$A$7,$D17*$H17,0)</f>
        <v>0</v>
      </c>
      <c r="BN17" s="6">
        <f>IF($B17='Look Up'!$A$6,$E17*$H17,0)+IF($B17='Look Up'!$A$7,$E17*$H17,0)</f>
        <v>0</v>
      </c>
      <c r="BO17" s="6">
        <f>IF($B17='Look Up'!$A$6,$F17*$H17,0)+IF($B17='Look Up'!$A$7,$F17*$H17,0)</f>
        <v>0</v>
      </c>
      <c r="BQ17" s="6">
        <f>$C17*'Study Information &amp; rates'!$B$101*IF('Study Information &amp; rates'!$B$44='Study Information &amp; rates'!$V$12,(SUM($H17:$AP17)*1.287),(SUM($H17:$AP17)))</f>
        <v>0</v>
      </c>
      <c r="BR17" s="6">
        <f>$D17*'Study Information &amp; rates'!$C$101*IF('Study Information &amp; rates'!$B$44='Study Information &amp; rates'!$V$12,(SUM($H17:$AP17)*1.287),(SUM($H17:$AP17)))</f>
        <v>0</v>
      </c>
      <c r="BS17" s="6">
        <f>$E17*'Study Information &amp; rates'!$D$101*IF('Study Information &amp; rates'!$B$44='Study Information &amp; rates'!$V$12,(SUM($H17:$AP17)*1.287),(SUM($H17:$AP17)))</f>
        <v>0</v>
      </c>
      <c r="BT17" s="6">
        <f>$F17*'Study Information &amp; rates'!$F$101*IF('Study Information &amp; rates'!$B$44='Study Information &amp; rates'!$V$12,(SUM($H17:$AP17)*1.287),(SUM($H17:$AP17)))</f>
        <v>0</v>
      </c>
    </row>
    <row r="18" spans="1:72">
      <c r="A18" s="8"/>
      <c r="B18" s="8"/>
      <c r="C18" s="326"/>
      <c r="D18" s="326"/>
      <c r="E18" s="326"/>
      <c r="F18" s="326"/>
      <c r="G18" s="532">
        <f>IF(ISERROR((C18*'Study Information &amp; rates'!$B$101+D18*'Study Information &amp; rates'!$C$101+E18*'Study Information &amp; rates'!$D$101+F18*'Study Information &amp; rates'!$F$101)),0,(C18*'Study Information &amp; rates'!$B$101+D18*'Study Information &amp; rates'!$C$101+E18*'Study Information &amp; rates'!$D$101+F18*'Study Information &amp; rates'!$F$101))</f>
        <v>0</v>
      </c>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428"/>
      <c r="AR18" s="440">
        <f>(SUM(H18:AP18))*G18</f>
        <v>0</v>
      </c>
      <c r="AS18" s="440">
        <f>IF('Study Information &amp; rates'!$B$44="Yes",AR18*0.287,0)</f>
        <v>0</v>
      </c>
      <c r="AT18" s="440">
        <f>IF('Study Information &amp; rates'!$B$44="No",0,AR18*0.05)</f>
        <v>0</v>
      </c>
      <c r="AU18" s="440">
        <f>AR18+AS18+AT18</f>
        <v>0</v>
      </c>
      <c r="AV18" s="440">
        <f>'Set-up and other costs'!$B$18*AU18</f>
        <v>0</v>
      </c>
      <c r="BC18" s="2">
        <f>H18*G18</f>
        <v>0</v>
      </c>
      <c r="BD18" s="2">
        <f>IF('Study Information &amp; rates'!$B$44='Study Information &amp; rates'!$V$12,BC18*0.287,0)</f>
        <v>0</v>
      </c>
      <c r="BE18" s="2">
        <f>IF((Reconciliation!$C$15)&gt;5000,BC18*0.05,0)</f>
        <v>0</v>
      </c>
      <c r="BF18" s="2">
        <f>BC18+BD18+BE18</f>
        <v>0</v>
      </c>
      <c r="BG18" s="6" t="b">
        <f>IF($B18='Look Up'!$A$5,$H18)</f>
        <v>0</v>
      </c>
      <c r="BH18" s="6" t="b">
        <f>IF($B18='Look Up'!$A$6,$H18)</f>
        <v>0</v>
      </c>
      <c r="BI18" s="6" t="b">
        <f>IF($B18='Look Up'!$A$7,$H18)</f>
        <v>0</v>
      </c>
      <c r="BJ18" s="6" t="b">
        <f>IF($B18='Look Up'!$A$7,$H18)</f>
        <v>0</v>
      </c>
      <c r="BL18" s="6">
        <f>IF($B18='Look Up'!$A$6,$C18*$H18,0)+IF($B18='Look Up'!$A$7,$C18*$H18,0)</f>
        <v>0</v>
      </c>
      <c r="BM18" s="6">
        <f>IF($B18='Look Up'!$A$6,$D18*$H18,0)+IF($B18='Look Up'!$A$7,$D18*$H18,0)</f>
        <v>0</v>
      </c>
      <c r="BN18" s="6">
        <f>IF($B18='Look Up'!$A$6,$E18*$H18,0)+IF($B18='Look Up'!$A$7,$E18*$H18,0)</f>
        <v>0</v>
      </c>
      <c r="BO18" s="6">
        <f>IF($B18='Look Up'!$A$6,$F18*$H18,0)+IF($B18='Look Up'!$A$7,$F18*$H18,0)</f>
        <v>0</v>
      </c>
      <c r="BQ18" s="6">
        <f>$C18*'Study Information &amp; rates'!$B$101*IF('Study Information &amp; rates'!$B$44='Study Information &amp; rates'!$V$12,(SUM($H18:$AP18)*1.287),(SUM($H18:$AP18)))</f>
        <v>0</v>
      </c>
      <c r="BR18" s="6">
        <f>$D18*'Study Information &amp; rates'!$C$101*IF('Study Information &amp; rates'!$B$44='Study Information &amp; rates'!$V$12,(SUM($H18:$AP18)*1.287),(SUM($H18:$AP18)))</f>
        <v>0</v>
      </c>
      <c r="BS18" s="6">
        <f>$E18*'Study Information &amp; rates'!$D$101*IF('Study Information &amp; rates'!$B$44='Study Information &amp; rates'!$V$12,(SUM($H18:$AP18)*1.287),(SUM($H18:$AP18)))</f>
        <v>0</v>
      </c>
      <c r="BT18" s="6">
        <f>$F18*'Study Information &amp; rates'!$F$101*IF('Study Information &amp; rates'!$B$44='Study Information &amp; rates'!$V$12,(SUM($H18:$AP18)*1.287),(SUM($H18:$AP18)))</f>
        <v>0</v>
      </c>
    </row>
    <row r="19" spans="1:72">
      <c r="A19" s="8"/>
      <c r="B19" s="8"/>
      <c r="C19" s="326"/>
      <c r="D19" s="326"/>
      <c r="E19" s="326"/>
      <c r="F19" s="326"/>
      <c r="G19" s="532">
        <f>IF(ISERROR((C19*'Study Information &amp; rates'!$B$101+D19*'Study Information &amp; rates'!$C$101+E19*'Study Information &amp; rates'!$D$101+F19*'Study Information &amp; rates'!$F$101)),0,(C19*'Study Information &amp; rates'!$B$101+D19*'Study Information &amp; rates'!$C$101+E19*'Study Information &amp; rates'!$D$101+F19*'Study Information &amp; rates'!$F$101))</f>
        <v>0</v>
      </c>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428"/>
      <c r="AR19" s="440">
        <f>(SUM(H19:AP19))*G19</f>
        <v>0</v>
      </c>
      <c r="AS19" s="440">
        <f>IF('Study Information &amp; rates'!$B$44="Yes",AR19*0.287,0)</f>
        <v>0</v>
      </c>
      <c r="AT19" s="440">
        <f>IF('Study Information &amp; rates'!$B$44="No",0,AR19*0.05)</f>
        <v>0</v>
      </c>
      <c r="AU19" s="440">
        <f>AR19+AS19+AT19</f>
        <v>0</v>
      </c>
      <c r="AV19" s="440">
        <f>'Set-up and other costs'!$B$18*AU19</f>
        <v>0</v>
      </c>
      <c r="BC19" s="2">
        <f>H19*G19</f>
        <v>0</v>
      </c>
      <c r="BD19" s="2">
        <f>IF('Study Information &amp; rates'!$B$44='Study Information &amp; rates'!$V$12,BC19*0.287,0)</f>
        <v>0</v>
      </c>
      <c r="BE19" s="2">
        <f>IF((Reconciliation!$C$15)&gt;5000,BC19*0.05,0)</f>
        <v>0</v>
      </c>
      <c r="BF19" s="2">
        <f>BC19+BD19+BE19</f>
        <v>0</v>
      </c>
      <c r="BG19" s="6" t="b">
        <f>IF($B19='Look Up'!$A$5,$H19)</f>
        <v>0</v>
      </c>
      <c r="BH19" s="6" t="b">
        <f>IF($B19='Look Up'!$A$6,$H19)</f>
        <v>0</v>
      </c>
      <c r="BI19" s="6" t="b">
        <f>IF($B19='Look Up'!$A$7,$H19)</f>
        <v>0</v>
      </c>
      <c r="BJ19" s="6" t="b">
        <f>IF($B19='Look Up'!$A$7,$H19)</f>
        <v>0</v>
      </c>
      <c r="BL19" s="6">
        <f>IF($B19='Look Up'!$A$6,$C19*$H19,0)+IF($B19='Look Up'!$A$7,$C19*$H19,0)</f>
        <v>0</v>
      </c>
      <c r="BM19" s="6">
        <f>IF($B19='Look Up'!$A$6,$D19*$H19,0)+IF($B19='Look Up'!$A$7,$D19*$H19,0)</f>
        <v>0</v>
      </c>
      <c r="BN19" s="6">
        <f>IF($B19='Look Up'!$A$6,$E19*$H19,0)+IF($B19='Look Up'!$A$7,$E19*$H19,0)</f>
        <v>0</v>
      </c>
      <c r="BO19" s="6">
        <f>IF($B19='Look Up'!$A$6,$F19*$H19,0)+IF($B19='Look Up'!$A$7,$F19*$H19,0)</f>
        <v>0</v>
      </c>
      <c r="BQ19" s="6">
        <f>$C19*'Study Information &amp; rates'!$B$101*IF('Study Information &amp; rates'!$B$44='Study Information &amp; rates'!$V$12,(SUM($H19:$AP19)*1.287),(SUM($H19:$AP19)))</f>
        <v>0</v>
      </c>
      <c r="BR19" s="6">
        <f>$D19*'Study Information &amp; rates'!$C$101*IF('Study Information &amp; rates'!$B$44='Study Information &amp; rates'!$V$12,(SUM($H19:$AP19)*1.287),(SUM($H19:$AP19)))</f>
        <v>0</v>
      </c>
      <c r="BS19" s="6">
        <f>$E19*'Study Information &amp; rates'!$D$101*IF('Study Information &amp; rates'!$B$44='Study Information &amp; rates'!$V$12,(SUM($H19:$AP19)*1.287),(SUM($H19:$AP19)))</f>
        <v>0</v>
      </c>
      <c r="BT19" s="6">
        <f>$F19*'Study Information &amp; rates'!$F$101*IF('Study Information &amp; rates'!$B$44='Study Information &amp; rates'!$V$12,(SUM($H19:$AP19)*1.287),(SUM($H19:$AP19)))</f>
        <v>0</v>
      </c>
    </row>
    <row r="20" spans="1:72">
      <c r="A20" s="8"/>
      <c r="B20" s="8"/>
      <c r="C20" s="326"/>
      <c r="D20" s="326"/>
      <c r="E20" s="326"/>
      <c r="F20" s="326"/>
      <c r="G20" s="532">
        <f>IF(ISERROR((C20*'Study Information &amp; rates'!$B$101+D20*'Study Information &amp; rates'!$C$101+E20*'Study Information &amp; rates'!$D$101+F20*'Study Information &amp; rates'!$F$101)),0,(C20*'Study Information &amp; rates'!$B$101+D20*'Study Information &amp; rates'!$C$101+E20*'Study Information &amp; rates'!$D$101+F20*'Study Information &amp; rates'!$F$101))</f>
        <v>0</v>
      </c>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428"/>
      <c r="AR20" s="440">
        <f>(SUM(H20:AP20))*G20</f>
        <v>0</v>
      </c>
      <c r="AS20" s="440">
        <f>IF('Study Information &amp; rates'!$B$44="Yes",AR20*0.287,0)</f>
        <v>0</v>
      </c>
      <c r="AT20" s="440">
        <f>IF('Study Information &amp; rates'!$B$44="No",0,AR20*0.05)</f>
        <v>0</v>
      </c>
      <c r="AU20" s="440">
        <f>AR20+AS20+AT20</f>
        <v>0</v>
      </c>
      <c r="AV20" s="440">
        <f>'Set-up and other costs'!$B$18*AU20</f>
        <v>0</v>
      </c>
      <c r="BC20" s="2">
        <f>H20*G20</f>
        <v>0</v>
      </c>
      <c r="BD20" s="2">
        <f>IF('Study Information &amp; rates'!$B$44='Study Information &amp; rates'!$V$12,BC20*0.287,0)</f>
        <v>0</v>
      </c>
      <c r="BE20" s="2">
        <f>IF((Reconciliation!$C$15)&gt;5000,BC20*0.05,0)</f>
        <v>0</v>
      </c>
      <c r="BF20" s="2">
        <f>BC20+BD20+BE20</f>
        <v>0</v>
      </c>
      <c r="BG20" s="6" t="b">
        <f>IF($B20='Look Up'!$A$5,$H20)</f>
        <v>0</v>
      </c>
      <c r="BH20" s="6" t="b">
        <f>IF($B20='Look Up'!$A$6,$H20)</f>
        <v>0</v>
      </c>
      <c r="BI20" s="6" t="b">
        <f>IF($B20='Look Up'!$A$7,$H20)</f>
        <v>0</v>
      </c>
      <c r="BJ20" s="6" t="b">
        <f>IF($B20='Look Up'!$A$7,$H20)</f>
        <v>0</v>
      </c>
      <c r="BL20" s="6">
        <f>IF($B20='Look Up'!$A$6,$C20*$H20,0)+IF($B20='Look Up'!$A$7,$C20*$H20,0)</f>
        <v>0</v>
      </c>
      <c r="BM20" s="6">
        <f>IF($B20='Look Up'!$A$6,$D20*$H20,0)+IF($B20='Look Up'!$A$7,$D20*$H20,0)</f>
        <v>0</v>
      </c>
      <c r="BN20" s="6">
        <f>IF($B20='Look Up'!$A$6,$E20*$H20,0)+IF($B20='Look Up'!$A$7,$E20*$H20,0)</f>
        <v>0</v>
      </c>
      <c r="BO20" s="6">
        <f>IF($B20='Look Up'!$A$6,$F20*$H20,0)+IF($B20='Look Up'!$A$7,$F20*$H20,0)</f>
        <v>0</v>
      </c>
      <c r="BQ20" s="6">
        <f>$C20*'Study Information &amp; rates'!$B$101*IF('Study Information &amp; rates'!$B$44='Study Information &amp; rates'!$V$12,(SUM($H20:$AP20)*1.287),(SUM($H20:$AP20)))</f>
        <v>0</v>
      </c>
      <c r="BR20" s="6">
        <f>$D20*'Study Information &amp; rates'!$C$101*IF('Study Information &amp; rates'!$B$44='Study Information &amp; rates'!$V$12,(SUM($H20:$AP20)*1.287),(SUM($H20:$AP20)))</f>
        <v>0</v>
      </c>
      <c r="BS20" s="6">
        <f>$E20*'Study Information &amp; rates'!$D$101*IF('Study Information &amp; rates'!$B$44='Study Information &amp; rates'!$V$12,(SUM($H20:$AP20)*1.287),(SUM($H20:$AP20)))</f>
        <v>0</v>
      </c>
      <c r="BT20" s="6">
        <f>$F20*'Study Information &amp; rates'!$F$101*IF('Study Information &amp; rates'!$B$44='Study Information &amp; rates'!$V$12,(SUM($H20:$AP20)*1.287),(SUM($H20:$AP20)))</f>
        <v>0</v>
      </c>
    </row>
    <row r="21" spans="1:72">
      <c r="A21" s="8"/>
      <c r="B21" s="8"/>
      <c r="C21" s="326"/>
      <c r="D21" s="326"/>
      <c r="E21" s="326"/>
      <c r="F21" s="326"/>
      <c r="G21" s="532">
        <f>IF(ISERROR((C21*'Study Information &amp; rates'!$B$101+D21*'Study Information &amp; rates'!$C$101+E21*'Study Information &amp; rates'!$D$101+F21*'Study Information &amp; rates'!$F$101)),0,(C21*'Study Information &amp; rates'!$B$101+D21*'Study Information &amp; rates'!$C$101+E21*'Study Information &amp; rates'!$D$101+F21*'Study Information &amp; rates'!$F$101))</f>
        <v>0</v>
      </c>
      <c r="H21" s="327"/>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428"/>
      <c r="AR21" s="440">
        <f>(SUM(H21:AP21))*G21</f>
        <v>0</v>
      </c>
      <c r="AS21" s="440">
        <f>IF('Study Information &amp; rates'!$B$44="Yes",AR21*0.287,0)</f>
        <v>0</v>
      </c>
      <c r="AT21" s="440">
        <f>IF('Study Information &amp; rates'!$B$44="No",0,AR21*0.05)</f>
        <v>0</v>
      </c>
      <c r="AU21" s="440">
        <f>AR21+AS21+AT21</f>
        <v>0</v>
      </c>
      <c r="AV21" s="440">
        <f>'Set-up and other costs'!$B$18*AU21</f>
        <v>0</v>
      </c>
      <c r="BC21" s="2">
        <f>H21*G21</f>
        <v>0</v>
      </c>
      <c r="BD21" s="2">
        <f>IF('Study Information &amp; rates'!$B$44='Study Information &amp; rates'!$V$12,BC21*0.287,0)</f>
        <v>0</v>
      </c>
      <c r="BE21" s="2">
        <f>IF((Reconciliation!$C$15)&gt;5000,BC21*0.05,0)</f>
        <v>0</v>
      </c>
      <c r="BF21" s="2">
        <f>BC21+BD21+BE21</f>
        <v>0</v>
      </c>
      <c r="BG21" s="6" t="b">
        <f>IF($B21='Look Up'!$A$5,$H21)</f>
        <v>0</v>
      </c>
      <c r="BH21" s="6" t="b">
        <f>IF($B21='Look Up'!$A$6,$H21)</f>
        <v>0</v>
      </c>
      <c r="BI21" s="6" t="b">
        <f>IF($B21='Look Up'!$A$7,$H21)</f>
        <v>0</v>
      </c>
      <c r="BJ21" s="6" t="b">
        <f>IF($B21='Look Up'!$A$7,$H21)</f>
        <v>0</v>
      </c>
      <c r="BL21" s="6">
        <f>IF($B21='Look Up'!$A$6,$C21*$H21,0)+IF($B21='Look Up'!$A$7,$C21*$H21,0)</f>
        <v>0</v>
      </c>
      <c r="BM21" s="6">
        <f>IF($B21='Look Up'!$A$6,$D21*$H21,0)+IF($B21='Look Up'!$A$7,$D21*$H21,0)</f>
        <v>0</v>
      </c>
      <c r="BN21" s="6">
        <f>IF($B21='Look Up'!$A$6,$E21*$H21,0)+IF($B21='Look Up'!$A$7,$E21*$H21,0)</f>
        <v>0</v>
      </c>
      <c r="BO21" s="6">
        <f>IF($B21='Look Up'!$A$6,$F21*$H21,0)+IF($B21='Look Up'!$A$7,$F21*$H21,0)</f>
        <v>0</v>
      </c>
      <c r="BQ21" s="6">
        <f>$C21*'Study Information &amp; rates'!$B$101*IF('Study Information &amp; rates'!$B$44='Study Information &amp; rates'!$V$12,(SUM($H21:$AP21)*1.287),(SUM($H21:$AP21)))</f>
        <v>0</v>
      </c>
      <c r="BR21" s="6">
        <f>$D21*'Study Information &amp; rates'!$C$101*IF('Study Information &amp; rates'!$B$44='Study Information &amp; rates'!$V$12,(SUM($H21:$AP21)*1.287),(SUM($H21:$AP21)))</f>
        <v>0</v>
      </c>
      <c r="BS21" s="6">
        <f>$E21*'Study Information &amp; rates'!$D$101*IF('Study Information &amp; rates'!$B$44='Study Information &amp; rates'!$V$12,(SUM($H21:$AP21)*1.287),(SUM($H21:$AP21)))</f>
        <v>0</v>
      </c>
      <c r="BT21" s="6">
        <f>$F21*'Study Information &amp; rates'!$F$101*IF('Study Information &amp; rates'!$B$44='Study Information &amp; rates'!$V$12,(SUM($H21:$AP21)*1.287),(SUM($H21:$AP21)))</f>
        <v>0</v>
      </c>
    </row>
    <row r="22" spans="1:72">
      <c r="A22" s="8"/>
      <c r="B22" s="8"/>
      <c r="C22" s="326"/>
      <c r="D22" s="326"/>
      <c r="E22" s="326"/>
      <c r="F22" s="326"/>
      <c r="G22" s="532">
        <f>IF(ISERROR((C22*'Study Information &amp; rates'!$B$101+D22*'Study Information &amp; rates'!$C$101+E22*'Study Information &amp; rates'!$D$101+F22*'Study Information &amp; rates'!$F$101)),0,(C22*'Study Information &amp; rates'!$B$101+D22*'Study Information &amp; rates'!$C$101+E22*'Study Information &amp; rates'!$D$101+F22*'Study Information &amp; rates'!$F$101))</f>
        <v>0</v>
      </c>
      <c r="H22" s="327"/>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428"/>
      <c r="AR22" s="440">
        <f>(SUM(H22:AP22))*G22</f>
        <v>0</v>
      </c>
      <c r="AS22" s="440">
        <f>IF('Study Information &amp; rates'!$B$44="Yes",AR22*0.287,0)</f>
        <v>0</v>
      </c>
      <c r="AT22" s="440">
        <f>IF('Study Information &amp; rates'!$B$44="No",0,AR22*0.05)</f>
        <v>0</v>
      </c>
      <c r="AU22" s="440">
        <f>AR22+AS22+AT22</f>
        <v>0</v>
      </c>
      <c r="AV22" s="440">
        <f>'Set-up and other costs'!$B$18*AU22</f>
        <v>0</v>
      </c>
      <c r="BC22" s="2">
        <f>H22*G22</f>
        <v>0</v>
      </c>
      <c r="BD22" s="2">
        <f>IF('Study Information &amp; rates'!$B$44='Study Information &amp; rates'!$V$12,BC22*0.287,0)</f>
        <v>0</v>
      </c>
      <c r="BE22" s="2">
        <f>IF((Reconciliation!$C$15)&gt;5000,BC22*0.05,0)</f>
        <v>0</v>
      </c>
      <c r="BF22" s="2">
        <f>BC22+BD22+BE22</f>
        <v>0</v>
      </c>
      <c r="BG22" s="6" t="b">
        <f>IF($B22='Look Up'!$A$5,$H22)</f>
        <v>0</v>
      </c>
      <c r="BH22" s="6" t="b">
        <f>IF($B22='Look Up'!$A$6,$H22)</f>
        <v>0</v>
      </c>
      <c r="BI22" s="6" t="b">
        <f>IF($B22='Look Up'!$A$7,$H22)</f>
        <v>0</v>
      </c>
      <c r="BJ22" s="6" t="b">
        <f>IF($B22='Look Up'!$A$7,$H22)</f>
        <v>0</v>
      </c>
      <c r="BL22" s="6">
        <f>IF($B22='Look Up'!$A$6,$C22*$H22,0)+IF($B22='Look Up'!$A$7,$C22*$H22,0)</f>
        <v>0</v>
      </c>
      <c r="BM22" s="6">
        <f>IF($B22='Look Up'!$A$6,$D22*$H22,0)+IF($B22='Look Up'!$A$7,$D22*$H22,0)</f>
        <v>0</v>
      </c>
      <c r="BN22" s="6">
        <f>IF($B22='Look Up'!$A$6,$E22*$H22,0)+IF($B22='Look Up'!$A$7,$E22*$H22,0)</f>
        <v>0</v>
      </c>
      <c r="BO22" s="6">
        <f>IF($B22='Look Up'!$A$6,$F22*$H22,0)+IF($B22='Look Up'!$A$7,$F22*$H22,0)</f>
        <v>0</v>
      </c>
      <c r="BQ22" s="6">
        <f>$C22*'Study Information &amp; rates'!$B$101*IF('Study Information &amp; rates'!$B$44='Study Information &amp; rates'!$V$12,(SUM($H22:$AP22)*1.287),(SUM($H22:$AP22)))</f>
        <v>0</v>
      </c>
      <c r="BR22" s="6">
        <f>$D22*'Study Information &amp; rates'!$C$101*IF('Study Information &amp; rates'!$B$44='Study Information &amp; rates'!$V$12,(SUM($H22:$AP22)*1.287),(SUM($H22:$AP22)))</f>
        <v>0</v>
      </c>
      <c r="BS22" s="6">
        <f>$E22*'Study Information &amp; rates'!$D$101*IF('Study Information &amp; rates'!$B$44='Study Information &amp; rates'!$V$12,(SUM($H22:$AP22)*1.287),(SUM($H22:$AP22)))</f>
        <v>0</v>
      </c>
      <c r="BT22" s="6">
        <f>$F22*'Study Information &amp; rates'!$F$101*IF('Study Information &amp; rates'!$B$44='Study Information &amp; rates'!$V$12,(SUM($H22:$AP22)*1.287),(SUM($H22:$AP22)))</f>
        <v>0</v>
      </c>
    </row>
    <row r="23" spans="1:72">
      <c r="A23" s="8"/>
      <c r="B23" s="8"/>
      <c r="C23" s="326"/>
      <c r="D23" s="326"/>
      <c r="E23" s="326"/>
      <c r="F23" s="326"/>
      <c r="G23" s="532">
        <f>IF(ISERROR((C23*'Study Information &amp; rates'!$B$101+D23*'Study Information &amp; rates'!$C$101+E23*'Study Information &amp; rates'!$D$101+F23*'Study Information &amp; rates'!$F$101)),0,(C23*'Study Information &amp; rates'!$B$101+D23*'Study Information &amp; rates'!$C$101+E23*'Study Information &amp; rates'!$D$101+F23*'Study Information &amp; rates'!$F$101))</f>
        <v>0</v>
      </c>
      <c r="H23" s="327"/>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428"/>
      <c r="AR23" s="440">
        <f>(SUM(H23:AP23))*G23</f>
        <v>0</v>
      </c>
      <c r="AS23" s="440">
        <f>IF('Study Information &amp; rates'!$B$44="Yes",AR23*0.287,0)</f>
        <v>0</v>
      </c>
      <c r="AT23" s="440">
        <f>IF('Study Information &amp; rates'!$B$44="No",0,AR23*0.05)</f>
        <v>0</v>
      </c>
      <c r="AU23" s="440">
        <f>AR23+AS23+AT23</f>
        <v>0</v>
      </c>
      <c r="AV23" s="440">
        <f>'Set-up and other costs'!$B$18*AU23</f>
        <v>0</v>
      </c>
      <c r="BC23" s="2">
        <f>H23*G23</f>
        <v>0</v>
      </c>
      <c r="BD23" s="2">
        <f>IF('Study Information &amp; rates'!$B$44='Study Information &amp; rates'!$V$12,BC23*0.287,0)</f>
        <v>0</v>
      </c>
      <c r="BE23" s="2">
        <f>IF((Reconciliation!$C$15)&gt;5000,BC23*0.05,0)</f>
        <v>0</v>
      </c>
      <c r="BF23" s="2">
        <f>BC23+BD23+BE23</f>
        <v>0</v>
      </c>
      <c r="BG23" s="6" t="b">
        <f>IF($B23='Look Up'!$A$5,$H23)</f>
        <v>0</v>
      </c>
      <c r="BH23" s="6" t="b">
        <f>IF($B23='Look Up'!$A$6,$H23)</f>
        <v>0</v>
      </c>
      <c r="BI23" s="6" t="b">
        <f>IF($B23='Look Up'!$A$7,$H23)</f>
        <v>0</v>
      </c>
      <c r="BJ23" s="6" t="b">
        <f>IF($B23='Look Up'!$A$7,$H23)</f>
        <v>0</v>
      </c>
      <c r="BL23" s="6">
        <f>IF($B23='Look Up'!$A$6,$C23*$H23,0)+IF($B23='Look Up'!$A$7,$C23*$H23,0)</f>
        <v>0</v>
      </c>
      <c r="BM23" s="6">
        <f>IF($B23='Look Up'!$A$6,$D23*$H23,0)+IF($B23='Look Up'!$A$7,$D23*$H23,0)</f>
        <v>0</v>
      </c>
      <c r="BN23" s="6">
        <f>IF($B23='Look Up'!$A$6,$E23*$H23,0)+IF($B23='Look Up'!$A$7,$E23*$H23,0)</f>
        <v>0</v>
      </c>
      <c r="BO23" s="6">
        <f>IF($B23='Look Up'!$A$6,$F23*$H23,0)+IF($B23='Look Up'!$A$7,$F23*$H23,0)</f>
        <v>0</v>
      </c>
      <c r="BQ23" s="6">
        <f>$C23*'Study Information &amp; rates'!$B$101*IF('Study Information &amp; rates'!$B$44='Study Information &amp; rates'!$V$12,(SUM($H23:$AP23)*1.287),(SUM($H23:$AP23)))</f>
        <v>0</v>
      </c>
      <c r="BR23" s="6">
        <f>$D23*'Study Information &amp; rates'!$C$101*IF('Study Information &amp; rates'!$B$44='Study Information &amp; rates'!$V$12,(SUM($H23:$AP23)*1.287),(SUM($H23:$AP23)))</f>
        <v>0</v>
      </c>
      <c r="BS23" s="6">
        <f>$E23*'Study Information &amp; rates'!$D$101*IF('Study Information &amp; rates'!$B$44='Study Information &amp; rates'!$V$12,(SUM($H23:$AP23)*1.287),(SUM($H23:$AP23)))</f>
        <v>0</v>
      </c>
      <c r="BT23" s="6">
        <f>$F23*'Study Information &amp; rates'!$F$101*IF('Study Information &amp; rates'!$B$44='Study Information &amp; rates'!$V$12,(SUM($H23:$AP23)*1.287),(SUM($H23:$AP23)))</f>
        <v>0</v>
      </c>
    </row>
    <row r="24" spans="1:72">
      <c r="A24" s="8"/>
      <c r="B24" s="8"/>
      <c r="C24" s="326"/>
      <c r="D24" s="326"/>
      <c r="E24" s="326"/>
      <c r="F24" s="326"/>
      <c r="G24" s="532">
        <f>IF(ISERROR((C24*'Study Information &amp; rates'!$B$101+D24*'Study Information &amp; rates'!$C$101+E24*'Study Information &amp; rates'!$D$101+F24*'Study Information &amp; rates'!$F$101)),0,(C24*'Study Information &amp; rates'!$B$101+D24*'Study Information &amp; rates'!$C$101+E24*'Study Information &amp; rates'!$D$101+F24*'Study Information &amp; rates'!$F$101))</f>
        <v>0</v>
      </c>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428"/>
      <c r="AR24" s="440">
        <f>(SUM(H24:AP24))*G24</f>
        <v>0</v>
      </c>
      <c r="AS24" s="440">
        <f>IF('Study Information &amp; rates'!$B$44="Yes",AR24*0.287,0)</f>
        <v>0</v>
      </c>
      <c r="AT24" s="440">
        <f>IF('Study Information &amp; rates'!$B$44="No",0,AR24*0.05)</f>
        <v>0</v>
      </c>
      <c r="AU24" s="440">
        <f>AR24+AS24+AT24</f>
        <v>0</v>
      </c>
      <c r="AV24" s="440">
        <f>'Set-up and other costs'!$B$18*AU24</f>
        <v>0</v>
      </c>
      <c r="BC24" s="2">
        <f>H24*G24</f>
        <v>0</v>
      </c>
      <c r="BD24" s="2">
        <f>IF('Study Information &amp; rates'!$B$44='Study Information &amp; rates'!$V$12,BC24*0.287,0)</f>
        <v>0</v>
      </c>
      <c r="BE24" s="2">
        <f>IF((Reconciliation!$C$15)&gt;5000,BC24*0.05,0)</f>
        <v>0</v>
      </c>
      <c r="BF24" s="2">
        <f>BC24+BD24+BE24</f>
        <v>0</v>
      </c>
      <c r="BG24" s="6" t="b">
        <f>IF($B24='Look Up'!$A$5,$H24)</f>
        <v>0</v>
      </c>
      <c r="BH24" s="6" t="b">
        <f>IF($B24='Look Up'!$A$6,$H24)</f>
        <v>0</v>
      </c>
      <c r="BI24" s="6" t="b">
        <f>IF($B24='Look Up'!$A$7,$H24)</f>
        <v>0</v>
      </c>
      <c r="BJ24" s="6" t="b">
        <f>IF($B24='Look Up'!$A$7,$H24)</f>
        <v>0</v>
      </c>
      <c r="BL24" s="6">
        <f>IF($B24='Look Up'!$A$6,$C24*$H24,0)+IF($B24='Look Up'!$A$7,$C24*$H24,0)</f>
        <v>0</v>
      </c>
      <c r="BM24" s="6">
        <f>IF($B24='Look Up'!$A$6,$D24*$H24,0)+IF($B24='Look Up'!$A$7,$D24*$H24,0)</f>
        <v>0</v>
      </c>
      <c r="BN24" s="6">
        <f>IF($B24='Look Up'!$A$6,$E24*$H24,0)+IF($B24='Look Up'!$A$7,$E24*$H24,0)</f>
        <v>0</v>
      </c>
      <c r="BO24" s="6">
        <f>IF($B24='Look Up'!$A$6,$F24*$H24,0)+IF($B24='Look Up'!$A$7,$F24*$H24,0)</f>
        <v>0</v>
      </c>
      <c r="BQ24" s="6">
        <f>$C24*'Study Information &amp; rates'!$B$101*IF('Study Information &amp; rates'!$B$44='Study Information &amp; rates'!$V$12,(SUM($H24:$AP24)*1.287),(SUM($H24:$AP24)))</f>
        <v>0</v>
      </c>
      <c r="BR24" s="6">
        <f>$D24*'Study Information &amp; rates'!$C$101*IF('Study Information &amp; rates'!$B$44='Study Information &amp; rates'!$V$12,(SUM($H24:$AP24)*1.287),(SUM($H24:$AP24)))</f>
        <v>0</v>
      </c>
      <c r="BS24" s="6">
        <f>$E24*'Study Information &amp; rates'!$D$101*IF('Study Information &amp; rates'!$B$44='Study Information &amp; rates'!$V$12,(SUM($H24:$AP24)*1.287),(SUM($H24:$AP24)))</f>
        <v>0</v>
      </c>
      <c r="BT24" s="6">
        <f>$F24*'Study Information &amp; rates'!$F$101*IF('Study Information &amp; rates'!$B$44='Study Information &amp; rates'!$V$12,(SUM($H24:$AP24)*1.287),(SUM($H24:$AP24)))</f>
        <v>0</v>
      </c>
    </row>
    <row r="25" spans="1:72">
      <c r="A25" s="8"/>
      <c r="B25" s="8"/>
      <c r="C25" s="326"/>
      <c r="D25" s="326"/>
      <c r="E25" s="326"/>
      <c r="F25" s="326"/>
      <c r="G25" s="532">
        <f>IF(ISERROR((C25*'Study Information &amp; rates'!$B$101+D25*'Study Information &amp; rates'!$C$101+E25*'Study Information &amp; rates'!$D$101+F25*'Study Information &amp; rates'!$F$101)),0,(C25*'Study Information &amp; rates'!$B$101+D25*'Study Information &amp; rates'!$C$101+E25*'Study Information &amp; rates'!$D$101+F25*'Study Information &amp; rates'!$F$101))</f>
        <v>0</v>
      </c>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428"/>
      <c r="AR25" s="440">
        <f>(SUM(H25:AP25))*G25</f>
        <v>0</v>
      </c>
      <c r="AS25" s="440">
        <f>IF('Study Information &amp; rates'!$B$44="Yes",AR25*0.287,0)</f>
        <v>0</v>
      </c>
      <c r="AT25" s="440">
        <f>IF('Study Information &amp; rates'!$B$44="No",0,AR25*0.05)</f>
        <v>0</v>
      </c>
      <c r="AU25" s="440">
        <f>AR25+AS25+AT25</f>
        <v>0</v>
      </c>
      <c r="AV25" s="440">
        <f>'Set-up and other costs'!$B$18*AU25</f>
        <v>0</v>
      </c>
      <c r="BC25" s="2">
        <f>H25*G25</f>
        <v>0</v>
      </c>
      <c r="BD25" s="2">
        <f>IF('Study Information &amp; rates'!$B$44='Study Information &amp; rates'!$V$12,BC25*0.287,0)</f>
        <v>0</v>
      </c>
      <c r="BE25" s="2">
        <f>IF((Reconciliation!$C$15)&gt;5000,BC25*0.05,0)</f>
        <v>0</v>
      </c>
      <c r="BF25" s="2">
        <f>BC25+BD25+BE25</f>
        <v>0</v>
      </c>
      <c r="BG25" s="6" t="b">
        <f>IF($B25='Look Up'!$A$5,$H25)</f>
        <v>0</v>
      </c>
      <c r="BH25" s="6" t="b">
        <f>IF($B25='Look Up'!$A$6,$H25)</f>
        <v>0</v>
      </c>
      <c r="BI25" s="6" t="b">
        <f>IF($B25='Look Up'!$A$7,$H25)</f>
        <v>0</v>
      </c>
      <c r="BJ25" s="6" t="b">
        <f>IF($B25='Look Up'!$A$7,$H25)</f>
        <v>0</v>
      </c>
      <c r="BL25" s="6">
        <f>IF($B25='Look Up'!$A$6,$C25*$H25,0)+IF($B25='Look Up'!$A$7,$C25*$H25,0)</f>
        <v>0</v>
      </c>
      <c r="BM25" s="6">
        <f>IF($B25='Look Up'!$A$6,$D25*$H25,0)+IF($B25='Look Up'!$A$7,$D25*$H25,0)</f>
        <v>0</v>
      </c>
      <c r="BN25" s="6">
        <f>IF($B25='Look Up'!$A$6,$E25*$H25,0)+IF($B25='Look Up'!$A$7,$E25*$H25,0)</f>
        <v>0</v>
      </c>
      <c r="BO25" s="6">
        <f>IF($B25='Look Up'!$A$6,$F25*$H25,0)+IF($B25='Look Up'!$A$7,$F25*$H25,0)</f>
        <v>0</v>
      </c>
      <c r="BQ25" s="6">
        <f>$C25*'Study Information &amp; rates'!$B$101*IF('Study Information &amp; rates'!$B$44='Study Information &amp; rates'!$V$12,(SUM($H25:$AP25)*1.287),(SUM($H25:$AP25)))</f>
        <v>0</v>
      </c>
      <c r="BR25" s="6">
        <f>$D25*'Study Information &amp; rates'!$C$101*IF('Study Information &amp; rates'!$B$44='Study Information &amp; rates'!$V$12,(SUM($H25:$AP25)*1.287),(SUM($H25:$AP25)))</f>
        <v>0</v>
      </c>
      <c r="BS25" s="6">
        <f>$E25*'Study Information &amp; rates'!$D$101*IF('Study Information &amp; rates'!$B$44='Study Information &amp; rates'!$V$12,(SUM($H25:$AP25)*1.287),(SUM($H25:$AP25)))</f>
        <v>0</v>
      </c>
      <c r="BT25" s="6">
        <f>$F25*'Study Information &amp; rates'!$F$101*IF('Study Information &amp; rates'!$B$44='Study Information &amp; rates'!$V$12,(SUM($H25:$AP25)*1.287),(SUM($H25:$AP25)))</f>
        <v>0</v>
      </c>
    </row>
    <row r="26" spans="1:72">
      <c r="A26" s="8"/>
      <c r="B26" s="8"/>
      <c r="C26" s="326"/>
      <c r="D26" s="326"/>
      <c r="E26" s="326"/>
      <c r="F26" s="326"/>
      <c r="G26" s="532">
        <f>IF(ISERROR((C26*'Study Information &amp; rates'!$B$101+D26*'Study Information &amp; rates'!$C$101+E26*'Study Information &amp; rates'!$D$101+F26*'Study Information &amp; rates'!$F$101)),0,(C26*'Study Information &amp; rates'!$B$101+D26*'Study Information &amp; rates'!$C$101+E26*'Study Information &amp; rates'!$D$101+F26*'Study Information &amp; rates'!$F$101))</f>
        <v>0</v>
      </c>
      <c r="H26" s="327"/>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428"/>
      <c r="AR26" s="440">
        <f>(SUM(H26:AP26))*G26</f>
        <v>0</v>
      </c>
      <c r="AS26" s="440">
        <f>IF('Study Information &amp; rates'!$B$44="Yes",AR26*0.287,0)</f>
        <v>0</v>
      </c>
      <c r="AT26" s="440">
        <f>IF('Study Information &amp; rates'!$B$44="No",0,AR26*0.05)</f>
        <v>0</v>
      </c>
      <c r="AU26" s="440">
        <f>AR26+AS26+AT26</f>
        <v>0</v>
      </c>
      <c r="AV26" s="440">
        <f>'Set-up and other costs'!$B$18*AU26</f>
        <v>0</v>
      </c>
      <c r="BC26" s="2">
        <f>H26*G26</f>
        <v>0</v>
      </c>
      <c r="BD26" s="2">
        <f>IF('Study Information &amp; rates'!$B$44='Study Information &amp; rates'!$V$12,BC26*0.287,0)</f>
        <v>0</v>
      </c>
      <c r="BE26" s="2">
        <f>IF((Reconciliation!$C$15)&gt;5000,BC26*0.05,0)</f>
        <v>0</v>
      </c>
      <c r="BF26" s="2">
        <f>BC26+BD26+BE26</f>
        <v>0</v>
      </c>
      <c r="BG26" s="6" t="b">
        <f>IF($B26='Look Up'!$A$5,$H26)</f>
        <v>0</v>
      </c>
      <c r="BH26" s="6" t="b">
        <f>IF($B26='Look Up'!$A$6,$H26)</f>
        <v>0</v>
      </c>
      <c r="BI26" s="6" t="b">
        <f>IF($B26='Look Up'!$A$7,$H26)</f>
        <v>0</v>
      </c>
      <c r="BJ26" s="6" t="b">
        <f>IF($B26='Look Up'!$A$7,$H26)</f>
        <v>0</v>
      </c>
      <c r="BL26" s="6">
        <f>IF($B26='Look Up'!$A$6,$C26*$H26,0)+IF($B26='Look Up'!$A$7,$C26*$H26,0)</f>
        <v>0</v>
      </c>
      <c r="BM26" s="6">
        <f>IF($B26='Look Up'!$A$6,$D26*$H26,0)+IF($B26='Look Up'!$A$7,$D26*$H26,0)</f>
        <v>0</v>
      </c>
      <c r="BN26" s="6">
        <f>IF($B26='Look Up'!$A$6,$E26*$H26,0)+IF($B26='Look Up'!$A$7,$E26*$H26,0)</f>
        <v>0</v>
      </c>
      <c r="BO26" s="6">
        <f>IF($B26='Look Up'!$A$6,$F26*$H26,0)+IF($B26='Look Up'!$A$7,$F26*$H26,0)</f>
        <v>0</v>
      </c>
      <c r="BQ26" s="6">
        <f>$C26*'Study Information &amp; rates'!$B$101*IF('Study Information &amp; rates'!$B$44='Study Information &amp; rates'!$V$12,(SUM($H26:$AP26)*1.287),(SUM($H26:$AP26)))</f>
        <v>0</v>
      </c>
      <c r="BR26" s="6">
        <f>$D26*'Study Information &amp; rates'!$C$101*IF('Study Information &amp; rates'!$B$44='Study Information &amp; rates'!$V$12,(SUM($H26:$AP26)*1.287),(SUM($H26:$AP26)))</f>
        <v>0</v>
      </c>
      <c r="BS26" s="6">
        <f>$E26*'Study Information &amp; rates'!$D$101*IF('Study Information &amp; rates'!$B$44='Study Information &amp; rates'!$V$12,(SUM($H26:$AP26)*1.287),(SUM($H26:$AP26)))</f>
        <v>0</v>
      </c>
      <c r="BT26" s="6">
        <f>$F26*'Study Information &amp; rates'!$F$101*IF('Study Information &amp; rates'!$B$44='Study Information &amp; rates'!$V$12,(SUM($H26:$AP26)*1.287),(SUM($H26:$AP26)))</f>
        <v>0</v>
      </c>
    </row>
    <row r="27" spans="1:72">
      <c r="A27" s="8"/>
      <c r="B27" s="8"/>
      <c r="C27" s="326"/>
      <c r="D27" s="326"/>
      <c r="E27" s="326"/>
      <c r="F27" s="326"/>
      <c r="G27" s="532">
        <f>IF(ISERROR((C27*'Study Information &amp; rates'!$B$101+D27*'Study Information &amp; rates'!$C$101+E27*'Study Information &amp; rates'!$D$101+F27*'Study Information &amp; rates'!$F$101)),0,(C27*'Study Information &amp; rates'!$B$101+D27*'Study Information &amp; rates'!$C$101+E27*'Study Information &amp; rates'!$D$101+F27*'Study Information &amp; rates'!$F$101))</f>
        <v>0</v>
      </c>
      <c r="H27" s="327"/>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428"/>
      <c r="AR27" s="440">
        <f>(SUM(H27:AP27))*G27</f>
        <v>0</v>
      </c>
      <c r="AS27" s="440">
        <f>IF('Study Information &amp; rates'!$B$44="Yes",AR27*0.287,0)</f>
        <v>0</v>
      </c>
      <c r="AT27" s="440">
        <f>IF('Study Information &amp; rates'!$B$44="No",0,AR27*0.05)</f>
        <v>0</v>
      </c>
      <c r="AU27" s="440">
        <f>AR27+AS27+AT27</f>
        <v>0</v>
      </c>
      <c r="AV27" s="440">
        <f>'Set-up and other costs'!$B$18*AU27</f>
        <v>0</v>
      </c>
      <c r="BC27" s="2">
        <f>H27*G27</f>
        <v>0</v>
      </c>
      <c r="BD27" s="2">
        <f>IF('Study Information &amp; rates'!$B$44='Study Information &amp; rates'!$V$12,BC27*0.287,0)</f>
        <v>0</v>
      </c>
      <c r="BE27" s="2">
        <f>IF((Reconciliation!$C$15)&gt;5000,BC27*0.05,0)</f>
        <v>0</v>
      </c>
      <c r="BF27" s="2">
        <f>BC27+BD27+BE27</f>
        <v>0</v>
      </c>
      <c r="BG27" s="6" t="b">
        <f>IF($B27='Look Up'!$A$5,$H27)</f>
        <v>0</v>
      </c>
      <c r="BH27" s="6" t="b">
        <f>IF($B27='Look Up'!$A$6,$H27)</f>
        <v>0</v>
      </c>
      <c r="BI27" s="6" t="b">
        <f>IF($B27='Look Up'!$A$7,$H27)</f>
        <v>0</v>
      </c>
      <c r="BJ27" s="6" t="b">
        <f>IF($B27='Look Up'!$A$7,$H27)</f>
        <v>0</v>
      </c>
      <c r="BL27" s="6">
        <f>IF($B27='Look Up'!$A$6,$C27*$H27,0)+IF($B27='Look Up'!$A$7,$C27*$H27,0)</f>
        <v>0</v>
      </c>
      <c r="BM27" s="6">
        <f>IF($B27='Look Up'!$A$6,$D27*$H27,0)+IF($B27='Look Up'!$A$7,$D27*$H27,0)</f>
        <v>0</v>
      </c>
      <c r="BN27" s="6">
        <f>IF($B27='Look Up'!$A$6,$E27*$H27,0)+IF($B27='Look Up'!$A$7,$E27*$H27,0)</f>
        <v>0</v>
      </c>
      <c r="BO27" s="6">
        <f>IF($B27='Look Up'!$A$6,$F27*$H27,0)+IF($B27='Look Up'!$A$7,$F27*$H27,0)</f>
        <v>0</v>
      </c>
      <c r="BQ27" s="6">
        <f>$C27*'Study Information &amp; rates'!$B$101*IF('Study Information &amp; rates'!$B$44='Study Information &amp; rates'!$V$12,(SUM($H27:$AP27)*1.287),(SUM($H27:$AP27)))</f>
        <v>0</v>
      </c>
      <c r="BR27" s="6">
        <f>$D27*'Study Information &amp; rates'!$C$101*IF('Study Information &amp; rates'!$B$44='Study Information &amp; rates'!$V$12,(SUM($H27:$AP27)*1.287),(SUM($H27:$AP27)))</f>
        <v>0</v>
      </c>
      <c r="BS27" s="6">
        <f>$E27*'Study Information &amp; rates'!$D$101*IF('Study Information &amp; rates'!$B$44='Study Information &amp; rates'!$V$12,(SUM($H27:$AP27)*1.287),(SUM($H27:$AP27)))</f>
        <v>0</v>
      </c>
      <c r="BT27" s="6">
        <f>$F27*'Study Information &amp; rates'!$F$101*IF('Study Information &amp; rates'!$B$44='Study Information &amp; rates'!$V$12,(SUM($H27:$AP27)*1.287),(SUM($H27:$AP27)))</f>
        <v>0</v>
      </c>
    </row>
    <row r="28" spans="1:72">
      <c r="A28" s="8"/>
      <c r="B28" s="8"/>
      <c r="C28" s="326"/>
      <c r="D28" s="326"/>
      <c r="E28" s="326"/>
      <c r="F28" s="326"/>
      <c r="G28" s="532">
        <f>IF(ISERROR((C28*'Study Information &amp; rates'!$B$101+D28*'Study Information &amp; rates'!$C$101+E28*'Study Information &amp; rates'!$D$101+F28*'Study Information &amp; rates'!$F$101)),0,(C28*'Study Information &amp; rates'!$B$101+D28*'Study Information &amp; rates'!$C$101+E28*'Study Information &amp; rates'!$D$101+F28*'Study Information &amp; rates'!$F$101))</f>
        <v>0</v>
      </c>
      <c r="H28" s="327"/>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428"/>
      <c r="AR28" s="440">
        <f>(SUM(H28:AP28))*G28</f>
        <v>0</v>
      </c>
      <c r="AS28" s="440">
        <f>IF('Study Information &amp; rates'!$B$44="Yes",AR28*0.287,0)</f>
        <v>0</v>
      </c>
      <c r="AT28" s="440">
        <f>IF('Study Information &amp; rates'!$B$44="No",0,AR28*0.05)</f>
        <v>0</v>
      </c>
      <c r="AU28" s="440">
        <f>AR28+AS28+AT28</f>
        <v>0</v>
      </c>
      <c r="AV28" s="440">
        <f>'Set-up and other costs'!$B$18*AU28</f>
        <v>0</v>
      </c>
      <c r="BC28" s="2">
        <f>H28*G28</f>
        <v>0</v>
      </c>
      <c r="BD28" s="2">
        <f>IF('Study Information &amp; rates'!$B$44='Study Information &amp; rates'!$V$12,BC28*0.287,0)</f>
        <v>0</v>
      </c>
      <c r="BE28" s="2">
        <f>IF((Reconciliation!$C$15)&gt;5000,BC28*0.05,0)</f>
        <v>0</v>
      </c>
      <c r="BF28" s="2">
        <f>BC28+BD28+BE28</f>
        <v>0</v>
      </c>
      <c r="BG28" s="6" t="b">
        <f>IF($B28='Look Up'!$A$5,$H28)</f>
        <v>0</v>
      </c>
      <c r="BH28" s="6" t="b">
        <f>IF($B28='Look Up'!$A$6,$H28)</f>
        <v>0</v>
      </c>
      <c r="BI28" s="6" t="b">
        <f>IF($B28='Look Up'!$A$7,$H28)</f>
        <v>0</v>
      </c>
      <c r="BJ28" s="6" t="b">
        <f>IF($B28='Look Up'!$A$7,$H28)</f>
        <v>0</v>
      </c>
      <c r="BL28" s="6">
        <f>IF($B28='Look Up'!$A$6,$C28*$H28,0)+IF($B28='Look Up'!$A$7,$C28*$H28,0)</f>
        <v>0</v>
      </c>
      <c r="BM28" s="6">
        <f>IF($B28='Look Up'!$A$6,$D28*$H28,0)+IF($B28='Look Up'!$A$7,$D28*$H28,0)</f>
        <v>0</v>
      </c>
      <c r="BN28" s="6">
        <f>IF($B28='Look Up'!$A$6,$E28*$H28,0)+IF($B28='Look Up'!$A$7,$E28*$H28,0)</f>
        <v>0</v>
      </c>
      <c r="BO28" s="6">
        <f>IF($B28='Look Up'!$A$6,$F28*$H28,0)+IF($B28='Look Up'!$A$7,$F28*$H28,0)</f>
        <v>0</v>
      </c>
      <c r="BQ28" s="6">
        <f>$C28*'Study Information &amp; rates'!$B$101*IF('Study Information &amp; rates'!$B$44='Study Information &amp; rates'!$V$12,(SUM($H28:$AP28)*1.287),(SUM($H28:$AP28)))</f>
        <v>0</v>
      </c>
      <c r="BR28" s="6">
        <f>$D28*'Study Information &amp; rates'!$C$101*IF('Study Information &amp; rates'!$B$44='Study Information &amp; rates'!$V$12,(SUM($H28:$AP28)*1.287),(SUM($H28:$AP28)))</f>
        <v>0</v>
      </c>
      <c r="BS28" s="6">
        <f>$E28*'Study Information &amp; rates'!$D$101*IF('Study Information &amp; rates'!$B$44='Study Information &amp; rates'!$V$12,(SUM($H28:$AP28)*1.287),(SUM($H28:$AP28)))</f>
        <v>0</v>
      </c>
      <c r="BT28" s="6">
        <f>$F28*'Study Information &amp; rates'!$F$101*IF('Study Information &amp; rates'!$B$44='Study Information &amp; rates'!$V$12,(SUM($H28:$AP28)*1.287),(SUM($H28:$AP28)))</f>
        <v>0</v>
      </c>
    </row>
    <row r="29" spans="1:72">
      <c r="A29" s="8"/>
      <c r="B29" s="8"/>
      <c r="C29" s="326"/>
      <c r="D29" s="326"/>
      <c r="E29" s="326"/>
      <c r="F29" s="326"/>
      <c r="G29" s="532">
        <f>IF(ISERROR((C29*'Study Information &amp; rates'!$B$101+D29*'Study Information &amp; rates'!$C$101+E29*'Study Information &amp; rates'!$D$101+F29*'Study Information &amp; rates'!$F$101)),0,(C29*'Study Information &amp; rates'!$B$101+D29*'Study Information &amp; rates'!$C$101+E29*'Study Information &amp; rates'!$D$101+F29*'Study Information &amp; rates'!$F$101))</f>
        <v>0</v>
      </c>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428"/>
      <c r="AR29" s="440">
        <f>(SUM(H29:AP29))*G29</f>
        <v>0</v>
      </c>
      <c r="AS29" s="440">
        <f>IF('Study Information &amp; rates'!$B$44="Yes",AR29*0.287,0)</f>
        <v>0</v>
      </c>
      <c r="AT29" s="440">
        <f>IF('Study Information &amp; rates'!$B$44="No",0,AR29*0.05)</f>
        <v>0</v>
      </c>
      <c r="AU29" s="440">
        <f>AR29+AS29+AT29</f>
        <v>0</v>
      </c>
      <c r="AV29" s="440">
        <f>'Set-up and other costs'!$B$18*AU29</f>
        <v>0</v>
      </c>
      <c r="BC29" s="2">
        <f>H29*G29</f>
        <v>0</v>
      </c>
      <c r="BD29" s="2">
        <f>IF('Study Information &amp; rates'!$B$44='Study Information &amp; rates'!$V$12,BC29*0.287,0)</f>
        <v>0</v>
      </c>
      <c r="BE29" s="2">
        <f>IF((Reconciliation!$C$15)&gt;5000,BC29*0.05,0)</f>
        <v>0</v>
      </c>
      <c r="BF29" s="2">
        <f>BC29+BD29+BE29</f>
        <v>0</v>
      </c>
      <c r="BG29" s="6" t="b">
        <f>IF($B29='Look Up'!$A$5,$H29)</f>
        <v>0</v>
      </c>
      <c r="BH29" s="6" t="b">
        <f>IF($B29='Look Up'!$A$6,$H29)</f>
        <v>0</v>
      </c>
      <c r="BI29" s="6" t="b">
        <f>IF($B29='Look Up'!$A$7,$H29)</f>
        <v>0</v>
      </c>
      <c r="BJ29" s="6" t="b">
        <f>IF($B29='Look Up'!$A$7,$H29)</f>
        <v>0</v>
      </c>
      <c r="BL29" s="6">
        <f>IF($B29='Look Up'!$A$6,$C29*$H29,0)+IF($B29='Look Up'!$A$7,$C29*$H29,0)</f>
        <v>0</v>
      </c>
      <c r="BM29" s="6">
        <f>IF($B29='Look Up'!$A$6,$D29*$H29,0)+IF($B29='Look Up'!$A$7,$D29*$H29,0)</f>
        <v>0</v>
      </c>
      <c r="BN29" s="6">
        <f>IF($B29='Look Up'!$A$6,$E29*$H29,0)+IF($B29='Look Up'!$A$7,$E29*$H29,0)</f>
        <v>0</v>
      </c>
      <c r="BO29" s="6">
        <f>IF($B29='Look Up'!$A$6,$F29*$H29,0)+IF($B29='Look Up'!$A$7,$F29*$H29,0)</f>
        <v>0</v>
      </c>
      <c r="BQ29" s="6">
        <f>$C29*'Study Information &amp; rates'!$B$101*IF('Study Information &amp; rates'!$B$44='Study Information &amp; rates'!$V$12,(SUM($H29:$AP29)*1.287),(SUM($H29:$AP29)))</f>
        <v>0</v>
      </c>
      <c r="BR29" s="6">
        <f>$D29*'Study Information &amp; rates'!$C$101*IF('Study Information &amp; rates'!$B$44='Study Information &amp; rates'!$V$12,(SUM($H29:$AP29)*1.287),(SUM($H29:$AP29)))</f>
        <v>0</v>
      </c>
      <c r="BS29" s="6">
        <f>$E29*'Study Information &amp; rates'!$D$101*IF('Study Information &amp; rates'!$B$44='Study Information &amp; rates'!$V$12,(SUM($H29:$AP29)*1.287),(SUM($H29:$AP29)))</f>
        <v>0</v>
      </c>
      <c r="BT29" s="6">
        <f>$F29*'Study Information &amp; rates'!$F$101*IF('Study Information &amp; rates'!$B$44='Study Information &amp; rates'!$V$12,(SUM($H29:$AP29)*1.287),(SUM($H29:$AP29)))</f>
        <v>0</v>
      </c>
    </row>
    <row r="30" spans="1:72">
      <c r="A30" s="8"/>
      <c r="B30" s="8"/>
      <c r="C30" s="326"/>
      <c r="D30" s="326"/>
      <c r="E30" s="326"/>
      <c r="F30" s="326"/>
      <c r="G30" s="532">
        <f>IF(ISERROR((C30*'Study Information &amp; rates'!$B$101+D30*'Study Information &amp; rates'!$C$101+E30*'Study Information &amp; rates'!$D$101+F30*'Study Information &amp; rates'!$F$101)),0,(C30*'Study Information &amp; rates'!$B$101+D30*'Study Information &amp; rates'!$C$101+E30*'Study Information &amp; rates'!$D$101+F30*'Study Information &amp; rates'!$F$101))</f>
        <v>0</v>
      </c>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428"/>
      <c r="AR30" s="440">
        <f>(SUM(H30:AP30))*G30</f>
        <v>0</v>
      </c>
      <c r="AS30" s="440">
        <f>IF('Study Information &amp; rates'!$B$44="Yes",AR30*0.287,0)</f>
        <v>0</v>
      </c>
      <c r="AT30" s="440">
        <f>IF('Study Information &amp; rates'!$B$44="No",0,AR30*0.05)</f>
        <v>0</v>
      </c>
      <c r="AU30" s="440">
        <f>AR30+AS30+AT30</f>
        <v>0</v>
      </c>
      <c r="AV30" s="440">
        <f>'Set-up and other costs'!$B$18*AU30</f>
        <v>0</v>
      </c>
      <c r="BC30" s="2">
        <f>H30*G30</f>
        <v>0</v>
      </c>
      <c r="BD30" s="2">
        <f>IF('Study Information &amp; rates'!$B$44='Study Information &amp; rates'!$V$12,BC30*0.287,0)</f>
        <v>0</v>
      </c>
      <c r="BE30" s="2">
        <f>IF((Reconciliation!$C$15)&gt;5000,BC30*0.05,0)</f>
        <v>0</v>
      </c>
      <c r="BF30" s="2">
        <f>BC30+BD30+BE30</f>
        <v>0</v>
      </c>
      <c r="BG30" s="6" t="b">
        <f>IF($B30='Look Up'!$A$5,$H30)</f>
        <v>0</v>
      </c>
      <c r="BH30" s="6" t="b">
        <f>IF($B30='Look Up'!$A$6,$H30)</f>
        <v>0</v>
      </c>
      <c r="BI30" s="6" t="b">
        <f>IF($B30='Look Up'!$A$7,$H30)</f>
        <v>0</v>
      </c>
      <c r="BJ30" s="6" t="b">
        <f>IF($B30='Look Up'!$A$7,$H30)</f>
        <v>0</v>
      </c>
      <c r="BL30" s="6">
        <f>IF($B30='Look Up'!$A$6,$C30*$H30,0)+IF($B30='Look Up'!$A$7,$C30*$H30,0)</f>
        <v>0</v>
      </c>
      <c r="BM30" s="6">
        <f>IF($B30='Look Up'!$A$6,$D30*$H30,0)+IF($B30='Look Up'!$A$7,$D30*$H30,0)</f>
        <v>0</v>
      </c>
      <c r="BN30" s="6">
        <f>IF($B30='Look Up'!$A$6,$E30*$H30,0)+IF($B30='Look Up'!$A$7,$E30*$H30,0)</f>
        <v>0</v>
      </c>
      <c r="BO30" s="6">
        <f>IF($B30='Look Up'!$A$6,$F30*$H30,0)+IF($B30='Look Up'!$A$7,$F30*$H30,0)</f>
        <v>0</v>
      </c>
      <c r="BQ30" s="6">
        <f>$C30*'Study Information &amp; rates'!$B$101*IF('Study Information &amp; rates'!$B$44='Study Information &amp; rates'!$V$12,(SUM($H30:$AP30)*1.287),(SUM($H30:$AP30)))</f>
        <v>0</v>
      </c>
      <c r="BR30" s="6">
        <f>$D30*'Study Information &amp; rates'!$C$101*IF('Study Information &amp; rates'!$B$44='Study Information &amp; rates'!$V$12,(SUM($H30:$AP30)*1.287),(SUM($H30:$AP30)))</f>
        <v>0</v>
      </c>
      <c r="BS30" s="6">
        <f>$E30*'Study Information &amp; rates'!$D$101*IF('Study Information &amp; rates'!$B$44='Study Information &amp; rates'!$V$12,(SUM($H30:$AP30)*1.287),(SUM($H30:$AP30)))</f>
        <v>0</v>
      </c>
      <c r="BT30" s="6">
        <f>$F30*'Study Information &amp; rates'!$F$101*IF('Study Information &amp; rates'!$B$44='Study Information &amp; rates'!$V$12,(SUM($H30:$AP30)*1.287),(SUM($H30:$AP30)))</f>
        <v>0</v>
      </c>
    </row>
    <row r="31" spans="1:72">
      <c r="A31" s="8"/>
      <c r="B31" s="8"/>
      <c r="C31" s="326"/>
      <c r="D31" s="326"/>
      <c r="E31" s="326"/>
      <c r="F31" s="326"/>
      <c r="G31" s="532">
        <f>IF(ISERROR((C31*'Study Information &amp; rates'!$B$101+D31*'Study Information &amp; rates'!$C$101+E31*'Study Information &amp; rates'!$D$101+F31*'Study Information &amp; rates'!$F$101)),0,(C31*'Study Information &amp; rates'!$B$101+D31*'Study Information &amp; rates'!$C$101+E31*'Study Information &amp; rates'!$D$101+F31*'Study Information &amp; rates'!$F$101))</f>
        <v>0</v>
      </c>
      <c r="H31" s="327"/>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428"/>
      <c r="AR31" s="440">
        <f>(SUM(H31:AP31))*G31</f>
        <v>0</v>
      </c>
      <c r="AS31" s="440">
        <f>IF('Study Information &amp; rates'!$B$44="Yes",AR31*0.287,0)</f>
        <v>0</v>
      </c>
      <c r="AT31" s="440">
        <f>IF('Study Information &amp; rates'!$B$44="No",0,AR31*0.05)</f>
        <v>0</v>
      </c>
      <c r="AU31" s="440">
        <f>AR31+AS31+AT31</f>
        <v>0</v>
      </c>
      <c r="AV31" s="440">
        <f>'Set-up and other costs'!$B$18*AU31</f>
        <v>0</v>
      </c>
      <c r="BC31" s="2">
        <f>H31*G31</f>
        <v>0</v>
      </c>
      <c r="BD31" s="2">
        <f>IF('Study Information &amp; rates'!$B$44='Study Information &amp; rates'!$V$12,BC31*0.287,0)</f>
        <v>0</v>
      </c>
      <c r="BE31" s="2">
        <f>IF((Reconciliation!$C$15)&gt;5000,BC31*0.05,0)</f>
        <v>0</v>
      </c>
      <c r="BF31" s="2">
        <f>BC31+BD31+BE31</f>
        <v>0</v>
      </c>
      <c r="BG31" s="6" t="b">
        <f>IF($B31='Look Up'!$A$5,$H31)</f>
        <v>0</v>
      </c>
      <c r="BH31" s="6" t="b">
        <f>IF($B31='Look Up'!$A$6,$H31)</f>
        <v>0</v>
      </c>
      <c r="BI31" s="6" t="b">
        <f>IF($B31='Look Up'!$A$7,$H31)</f>
        <v>0</v>
      </c>
      <c r="BJ31" s="6" t="b">
        <f>IF($B31='Look Up'!$A$7,$H31)</f>
        <v>0</v>
      </c>
      <c r="BL31" s="6">
        <f>IF($B31='Look Up'!$A$6,$C31*$H31,0)+IF($B31='Look Up'!$A$7,$C31*$H31,0)</f>
        <v>0</v>
      </c>
      <c r="BM31" s="6">
        <f>IF($B31='Look Up'!$A$6,$D31*$H31,0)+IF($B31='Look Up'!$A$7,$D31*$H31,0)</f>
        <v>0</v>
      </c>
      <c r="BN31" s="6">
        <f>IF($B31='Look Up'!$A$6,$E31*$H31,0)+IF($B31='Look Up'!$A$7,$E31*$H31,0)</f>
        <v>0</v>
      </c>
      <c r="BO31" s="6">
        <f>IF($B31='Look Up'!$A$6,$F31*$H31,0)+IF($B31='Look Up'!$A$7,$F31*$H31,0)</f>
        <v>0</v>
      </c>
      <c r="BQ31" s="6">
        <f>$C31*'Study Information &amp; rates'!$B$101*IF('Study Information &amp; rates'!$B$44='Study Information &amp; rates'!$V$12,(SUM($H31:$AP31)*1.287),(SUM($H31:$AP31)))</f>
        <v>0</v>
      </c>
      <c r="BR31" s="6">
        <f>$D31*'Study Information &amp; rates'!$C$101*IF('Study Information &amp; rates'!$B$44='Study Information &amp; rates'!$V$12,(SUM($H31:$AP31)*1.287),(SUM($H31:$AP31)))</f>
        <v>0</v>
      </c>
      <c r="BS31" s="6">
        <f>$E31*'Study Information &amp; rates'!$D$101*IF('Study Information &amp; rates'!$B$44='Study Information &amp; rates'!$V$12,(SUM($H31:$AP31)*1.287),(SUM($H31:$AP31)))</f>
        <v>0</v>
      </c>
      <c r="BT31" s="6">
        <f>$F31*'Study Information &amp; rates'!$F$101*IF('Study Information &amp; rates'!$B$44='Study Information &amp; rates'!$V$12,(SUM($H31:$AP31)*1.287),(SUM($H31:$AP31)))</f>
        <v>0</v>
      </c>
    </row>
    <row r="32" spans="1:72">
      <c r="A32" s="8"/>
      <c r="B32" s="8"/>
      <c r="C32" s="326"/>
      <c r="D32" s="326"/>
      <c r="E32" s="326"/>
      <c r="F32" s="326"/>
      <c r="G32" s="532">
        <f>IF(ISERROR((C32*'Study Information &amp; rates'!$B$101+D32*'Study Information &amp; rates'!$C$101+E32*'Study Information &amp; rates'!$D$101+F32*'Study Information &amp; rates'!$F$101)),0,(C32*'Study Information &amp; rates'!$B$101+D32*'Study Information &amp; rates'!$C$101+E32*'Study Information &amp; rates'!$D$101+F32*'Study Information &amp; rates'!$F$101))</f>
        <v>0</v>
      </c>
      <c r="H32" s="327"/>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428"/>
      <c r="AR32" s="440">
        <f>(SUM(H32:AP32))*G32</f>
        <v>0</v>
      </c>
      <c r="AS32" s="440">
        <f>IF('Study Information &amp; rates'!$B$44="Yes",AR32*0.287,0)</f>
        <v>0</v>
      </c>
      <c r="AT32" s="440">
        <f>IF('Study Information &amp; rates'!$B$44="No",0,AR32*0.05)</f>
        <v>0</v>
      </c>
      <c r="AU32" s="440">
        <f>AR32+AS32+AT32</f>
        <v>0</v>
      </c>
      <c r="AV32" s="440">
        <f>'Set-up and other costs'!$B$18*AU32</f>
        <v>0</v>
      </c>
      <c r="BC32" s="2">
        <f>H32*G32</f>
        <v>0</v>
      </c>
      <c r="BD32" s="2">
        <f>IF('Study Information &amp; rates'!$B$44='Study Information &amp; rates'!$V$12,BC32*0.287,0)</f>
        <v>0</v>
      </c>
      <c r="BE32" s="2">
        <f>IF((Reconciliation!$C$15)&gt;5000,BC32*0.05,0)</f>
        <v>0</v>
      </c>
      <c r="BF32" s="2">
        <f>BC32+BD32+BE32</f>
        <v>0</v>
      </c>
      <c r="BG32" s="6" t="b">
        <f>IF($B32='Look Up'!$A$5,$H32)</f>
        <v>0</v>
      </c>
      <c r="BH32" s="6" t="b">
        <f>IF($B32='Look Up'!$A$6,$H32)</f>
        <v>0</v>
      </c>
      <c r="BI32" s="6" t="b">
        <f>IF($B32='Look Up'!$A$7,$H32)</f>
        <v>0</v>
      </c>
      <c r="BJ32" s="6" t="b">
        <f>IF($B32='Look Up'!$A$7,$H32)</f>
        <v>0</v>
      </c>
      <c r="BL32" s="6">
        <f>IF($B32='Look Up'!$A$6,$C32*$H32,0)+IF($B32='Look Up'!$A$7,$C32*$H32,0)</f>
        <v>0</v>
      </c>
      <c r="BM32" s="6">
        <f>IF($B32='Look Up'!$A$6,$D32*$H32,0)+IF($B32='Look Up'!$A$7,$D32*$H32,0)</f>
        <v>0</v>
      </c>
      <c r="BN32" s="6">
        <f>IF($B32='Look Up'!$A$6,$E32*$H32,0)+IF($B32='Look Up'!$A$7,$E32*$H32,0)</f>
        <v>0</v>
      </c>
      <c r="BO32" s="6">
        <f>IF($B32='Look Up'!$A$6,$F32*$H32,0)+IF($B32='Look Up'!$A$7,$F32*$H32,0)</f>
        <v>0</v>
      </c>
      <c r="BQ32" s="6">
        <f>$C32*'Study Information &amp; rates'!$B$101*IF('Study Information &amp; rates'!$B$44='Study Information &amp; rates'!$V$12,(SUM($H32:$AP32)*1.287),(SUM($H32:$AP32)))</f>
        <v>0</v>
      </c>
      <c r="BR32" s="6">
        <f>$D32*'Study Information &amp; rates'!$C$101*IF('Study Information &amp; rates'!$B$44='Study Information &amp; rates'!$V$12,(SUM($H32:$AP32)*1.287),(SUM($H32:$AP32)))</f>
        <v>0</v>
      </c>
      <c r="BS32" s="6">
        <f>$E32*'Study Information &amp; rates'!$D$101*IF('Study Information &amp; rates'!$B$44='Study Information &amp; rates'!$V$12,(SUM($H32:$AP32)*1.287),(SUM($H32:$AP32)))</f>
        <v>0</v>
      </c>
      <c r="BT32" s="6">
        <f>$F32*'Study Information &amp; rates'!$F$101*IF('Study Information &amp; rates'!$B$44='Study Information &amp; rates'!$V$12,(SUM($H32:$AP32)*1.287),(SUM($H32:$AP32)))</f>
        <v>0</v>
      </c>
    </row>
    <row r="33" spans="1:72">
      <c r="A33" s="8"/>
      <c r="B33" s="8"/>
      <c r="C33" s="326"/>
      <c r="D33" s="326"/>
      <c r="E33" s="326"/>
      <c r="F33" s="326"/>
      <c r="G33" s="532">
        <f>IF(ISERROR((C33*'Study Information &amp; rates'!$B$101+D33*'Study Information &amp; rates'!$C$101+E33*'Study Information &amp; rates'!$D$101+F33*'Study Information &amp; rates'!$F$101)),0,(C33*'Study Information &amp; rates'!$B$101+D33*'Study Information &amp; rates'!$C$101+E33*'Study Information &amp; rates'!$D$101+F33*'Study Information &amp; rates'!$F$101))</f>
        <v>0</v>
      </c>
      <c r="H33" s="327"/>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428"/>
      <c r="AR33" s="440">
        <f>(SUM(H33:AP33))*G33</f>
        <v>0</v>
      </c>
      <c r="AS33" s="440">
        <f>IF('Study Information &amp; rates'!$B$44="Yes",AR33*0.287,0)</f>
        <v>0</v>
      </c>
      <c r="AT33" s="440">
        <f>IF('Study Information &amp; rates'!$B$44="No",0,AR33*0.05)</f>
        <v>0</v>
      </c>
      <c r="AU33" s="440">
        <f>AR33+AS33+AT33</f>
        <v>0</v>
      </c>
      <c r="AV33" s="440">
        <f>'Set-up and other costs'!$B$18*AU33</f>
        <v>0</v>
      </c>
      <c r="BC33" s="2">
        <f>H33*G33</f>
        <v>0</v>
      </c>
      <c r="BD33" s="2">
        <f>IF('Study Information &amp; rates'!$B$44='Study Information &amp; rates'!$V$12,BC33*0.287,0)</f>
        <v>0</v>
      </c>
      <c r="BE33" s="2">
        <f>IF((Reconciliation!$C$15)&gt;5000,BC33*0.05,0)</f>
        <v>0</v>
      </c>
      <c r="BF33" s="2">
        <f>BC33+BD33+BE33</f>
        <v>0</v>
      </c>
      <c r="BG33" s="6" t="b">
        <f>IF($B33='Look Up'!$A$5,$H33)</f>
        <v>0</v>
      </c>
      <c r="BH33" s="6" t="b">
        <f>IF($B33='Look Up'!$A$6,$H33)</f>
        <v>0</v>
      </c>
      <c r="BI33" s="6" t="b">
        <f>IF($B33='Look Up'!$A$7,$H33)</f>
        <v>0</v>
      </c>
      <c r="BJ33" s="6" t="b">
        <f>IF($B33='Look Up'!$A$7,$H33)</f>
        <v>0</v>
      </c>
      <c r="BL33" s="6">
        <f>IF($B33='Look Up'!$A$6,$C33*$H33,0)+IF($B33='Look Up'!$A$7,$C33*$H33,0)</f>
        <v>0</v>
      </c>
      <c r="BM33" s="6">
        <f>IF($B33='Look Up'!$A$6,$D33*$H33,0)+IF($B33='Look Up'!$A$7,$D33*$H33,0)</f>
        <v>0</v>
      </c>
      <c r="BN33" s="6">
        <f>IF($B33='Look Up'!$A$6,$E33*$H33,0)+IF($B33='Look Up'!$A$7,$E33*$H33,0)</f>
        <v>0</v>
      </c>
      <c r="BO33" s="6">
        <f>IF($B33='Look Up'!$A$6,$F33*$H33,0)+IF($B33='Look Up'!$A$7,$F33*$H33,0)</f>
        <v>0</v>
      </c>
      <c r="BQ33" s="6">
        <f>$C33*'Study Information &amp; rates'!$B$101*IF('Study Information &amp; rates'!$B$44='Study Information &amp; rates'!$V$12,(SUM($H33:$AP33)*1.287),(SUM($H33:$AP33)))</f>
        <v>0</v>
      </c>
      <c r="BR33" s="6">
        <f>$D33*'Study Information &amp; rates'!$C$101*IF('Study Information &amp; rates'!$B$44='Study Information &amp; rates'!$V$12,(SUM($H33:$AP33)*1.287),(SUM($H33:$AP33)))</f>
        <v>0</v>
      </c>
      <c r="BS33" s="6">
        <f>$E33*'Study Information &amp; rates'!$D$101*IF('Study Information &amp; rates'!$B$44='Study Information &amp; rates'!$V$12,(SUM($H33:$AP33)*1.287),(SUM($H33:$AP33)))</f>
        <v>0</v>
      </c>
      <c r="BT33" s="6">
        <f>$F33*'Study Information &amp; rates'!$F$101*IF('Study Information &amp; rates'!$B$44='Study Information &amp; rates'!$V$12,(SUM($H33:$AP33)*1.287),(SUM($H33:$AP33)))</f>
        <v>0</v>
      </c>
    </row>
    <row r="34" spans="1:72">
      <c r="A34" s="8"/>
      <c r="B34" s="8"/>
      <c r="C34" s="326"/>
      <c r="D34" s="326"/>
      <c r="E34" s="326"/>
      <c r="F34" s="326"/>
      <c r="G34" s="532">
        <f>IF(ISERROR((C34*'Study Information &amp; rates'!$B$101+D34*'Study Information &amp; rates'!$C$101+E34*'Study Information &amp; rates'!$D$101+F34*'Study Information &amp; rates'!$F$101)),0,(C34*'Study Information &amp; rates'!$B$101+D34*'Study Information &amp; rates'!$C$101+E34*'Study Information &amp; rates'!$D$101+F34*'Study Information &amp; rates'!$F$101))</f>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428"/>
      <c r="AR34" s="440">
        <f>(SUM(H34:AP34))*G34</f>
        <v>0</v>
      </c>
      <c r="AS34" s="440">
        <f>IF('Study Information &amp; rates'!$B$44="Yes",AR34*0.287,0)</f>
        <v>0</v>
      </c>
      <c r="AT34" s="440">
        <f>IF('Study Information &amp; rates'!$B$44="No",0,AR34*0.05)</f>
        <v>0</v>
      </c>
      <c r="AU34" s="440">
        <f>AR34+AS34+AT34</f>
        <v>0</v>
      </c>
      <c r="AV34" s="440">
        <f>'Set-up and other costs'!$B$18*AU34</f>
        <v>0</v>
      </c>
      <c r="BC34" s="2">
        <f>H34*G34</f>
        <v>0</v>
      </c>
      <c r="BD34" s="2">
        <f>IF('Study Information &amp; rates'!$B$44='Study Information &amp; rates'!$V$12,BC34*0.287,0)</f>
        <v>0</v>
      </c>
      <c r="BE34" s="2">
        <f>IF((Reconciliation!$C$15)&gt;5000,BC34*0.05,0)</f>
        <v>0</v>
      </c>
      <c r="BF34" s="2">
        <f>BC34+BD34+BE34</f>
        <v>0</v>
      </c>
      <c r="BG34" s="6" t="b">
        <f>IF($B34='Look Up'!$A$5,$H34)</f>
        <v>0</v>
      </c>
      <c r="BH34" s="6" t="b">
        <f>IF($B34='Look Up'!$A$6,$H34)</f>
        <v>0</v>
      </c>
      <c r="BI34" s="6" t="b">
        <f>IF($B34='Look Up'!$A$7,$H34)</f>
        <v>0</v>
      </c>
      <c r="BJ34" s="6" t="b">
        <f>IF($B34='Look Up'!$A$7,$H34)</f>
        <v>0</v>
      </c>
      <c r="BL34" s="6">
        <f>IF($B34='Look Up'!$A$6,$C34*$H34,0)+IF($B34='Look Up'!$A$7,$C34*$H34,0)</f>
        <v>0</v>
      </c>
      <c r="BM34" s="6">
        <f>IF($B34='Look Up'!$A$6,$D34*$H34,0)+IF($B34='Look Up'!$A$7,$D34*$H34,0)</f>
        <v>0</v>
      </c>
      <c r="BN34" s="6">
        <f>IF($B34='Look Up'!$A$6,$E34*$H34,0)+IF($B34='Look Up'!$A$7,$E34*$H34,0)</f>
        <v>0</v>
      </c>
      <c r="BO34" s="6">
        <f>IF($B34='Look Up'!$A$6,$F34*$H34,0)+IF($B34='Look Up'!$A$7,$F34*$H34,0)</f>
        <v>0</v>
      </c>
      <c r="BQ34" s="6">
        <f>$C34*'Study Information &amp; rates'!$B$101*IF('Study Information &amp; rates'!$B$44='Study Information &amp; rates'!$V$12,(SUM($H34:$AP34)*1.287),(SUM($H34:$AP34)))</f>
        <v>0</v>
      </c>
      <c r="BR34" s="6">
        <f>$D34*'Study Information &amp; rates'!$C$101*IF('Study Information &amp; rates'!$B$44='Study Information &amp; rates'!$V$12,(SUM($H34:$AP34)*1.287),(SUM($H34:$AP34)))</f>
        <v>0</v>
      </c>
      <c r="BS34" s="6">
        <f>$E34*'Study Information &amp; rates'!$D$101*IF('Study Information &amp; rates'!$B$44='Study Information &amp; rates'!$V$12,(SUM($H34:$AP34)*1.287),(SUM($H34:$AP34)))</f>
        <v>0</v>
      </c>
      <c r="BT34" s="6">
        <f>$F34*'Study Information &amp; rates'!$F$101*IF('Study Information &amp; rates'!$B$44='Study Information &amp; rates'!$V$12,(SUM($H34:$AP34)*1.287),(SUM($H34:$AP34)))</f>
        <v>0</v>
      </c>
    </row>
    <row r="35" spans="1:72">
      <c r="A35" s="8"/>
      <c r="B35" s="8"/>
      <c r="C35" s="326"/>
      <c r="D35" s="326"/>
      <c r="E35" s="326"/>
      <c r="F35" s="326"/>
      <c r="G35" s="532">
        <f>IF(ISERROR((C35*'Study Information &amp; rates'!$B$101+D35*'Study Information &amp; rates'!$C$101+E35*'Study Information &amp; rates'!$D$101+F35*'Study Information &amp; rates'!$F$101)),0,(C35*'Study Information &amp; rates'!$B$101+D35*'Study Information &amp; rates'!$C$101+E35*'Study Information &amp; rates'!$D$101+F35*'Study Information &amp; rates'!$F$101))</f>
        <v>0</v>
      </c>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428"/>
      <c r="AR35" s="440">
        <f>(SUM(H35:AP35))*G35</f>
        <v>0</v>
      </c>
      <c r="AS35" s="440">
        <f>IF('Study Information &amp; rates'!$B$44="Yes",AR35*0.287,0)</f>
        <v>0</v>
      </c>
      <c r="AT35" s="440">
        <f>IF('Study Information &amp; rates'!$B$44="No",0,AR35*0.05)</f>
        <v>0</v>
      </c>
      <c r="AU35" s="440">
        <f>AR35+AS35+AT35</f>
        <v>0</v>
      </c>
      <c r="AV35" s="440">
        <f>'Set-up and other costs'!$B$18*AU35</f>
        <v>0</v>
      </c>
      <c r="BC35" s="2">
        <f>H35*G35</f>
        <v>0</v>
      </c>
      <c r="BD35" s="2">
        <f>IF('Study Information &amp; rates'!$B$44='Study Information &amp; rates'!$V$12,BC35*0.287,0)</f>
        <v>0</v>
      </c>
      <c r="BE35" s="2">
        <f>IF((Reconciliation!$C$15)&gt;5000,BC35*0.05,0)</f>
        <v>0</v>
      </c>
      <c r="BF35" s="2">
        <f>BC35+BD35+BE35</f>
        <v>0</v>
      </c>
      <c r="BG35" s="6" t="b">
        <f>IF($B35='Look Up'!$A$5,$H35)</f>
        <v>0</v>
      </c>
      <c r="BH35" s="6" t="b">
        <f>IF($B35='Look Up'!$A$6,$H35)</f>
        <v>0</v>
      </c>
      <c r="BI35" s="6" t="b">
        <f>IF($B35='Look Up'!$A$7,$H35)</f>
        <v>0</v>
      </c>
      <c r="BJ35" s="6" t="b">
        <f>IF($B35='Look Up'!$A$7,$H35)</f>
        <v>0</v>
      </c>
      <c r="BL35" s="6">
        <f>IF($B35='Look Up'!$A$6,$C35*$H35,0)+IF($B35='Look Up'!$A$7,$C35*$H35,0)</f>
        <v>0</v>
      </c>
      <c r="BM35" s="6">
        <f>IF($B35='Look Up'!$A$6,$D35*$H35,0)+IF($B35='Look Up'!$A$7,$D35*$H35,0)</f>
        <v>0</v>
      </c>
      <c r="BN35" s="6">
        <f>IF($B35='Look Up'!$A$6,$E35*$H35,0)+IF($B35='Look Up'!$A$7,$E35*$H35,0)</f>
        <v>0</v>
      </c>
      <c r="BO35" s="6">
        <f>IF($B35='Look Up'!$A$6,$F35*$H35,0)+IF($B35='Look Up'!$A$7,$F35*$H35,0)</f>
        <v>0</v>
      </c>
      <c r="BQ35" s="6">
        <f>$C35*'Study Information &amp; rates'!$B$101*IF('Study Information &amp; rates'!$B$44='Study Information &amp; rates'!$V$12,(SUM($H35:$AP35)*1.287),(SUM($H35:$AP35)))</f>
        <v>0</v>
      </c>
      <c r="BR35" s="6">
        <f>$D35*'Study Information &amp; rates'!$C$101*IF('Study Information &amp; rates'!$B$44='Study Information &amp; rates'!$V$12,(SUM($H35:$AP35)*1.287),(SUM($H35:$AP35)))</f>
        <v>0</v>
      </c>
      <c r="BS35" s="6">
        <f>$E35*'Study Information &amp; rates'!$D$101*IF('Study Information &amp; rates'!$B$44='Study Information &amp; rates'!$V$12,(SUM($H35:$AP35)*1.287),(SUM($H35:$AP35)))</f>
        <v>0</v>
      </c>
      <c r="BT35" s="6">
        <f>$F35*'Study Information &amp; rates'!$F$101*IF('Study Information &amp; rates'!$B$44='Study Information &amp; rates'!$V$12,(SUM($H35:$AP35)*1.287),(SUM($H35:$AP35)))</f>
        <v>0</v>
      </c>
    </row>
    <row r="36" spans="1:72">
      <c r="A36" s="8"/>
      <c r="B36" s="8"/>
      <c r="C36" s="326"/>
      <c r="D36" s="326"/>
      <c r="E36" s="326"/>
      <c r="F36" s="326"/>
      <c r="G36" s="532">
        <f>IF(ISERROR((C36*'Study Information &amp; rates'!$B$101+D36*'Study Information &amp; rates'!$C$101+E36*'Study Information &amp; rates'!$D$101+F36*'Study Information &amp; rates'!$F$101)),0,(C36*'Study Information &amp; rates'!$B$101+D36*'Study Information &amp; rates'!$C$101+E36*'Study Information &amp; rates'!$D$101+F36*'Study Information &amp; rates'!$F$101))</f>
        <v>0</v>
      </c>
      <c r="H36" s="327"/>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428"/>
      <c r="AR36" s="440">
        <f>(SUM(H36:AP36))*G36</f>
        <v>0</v>
      </c>
      <c r="AS36" s="440">
        <f>IF('Study Information &amp; rates'!$B$44="Yes",AR36*0.287,0)</f>
        <v>0</v>
      </c>
      <c r="AT36" s="440">
        <f>IF('Study Information &amp; rates'!$B$44="No",0,AR36*0.05)</f>
        <v>0</v>
      </c>
      <c r="AU36" s="440">
        <f>AR36+AS36+AT36</f>
        <v>0</v>
      </c>
      <c r="AV36" s="440">
        <f>'Set-up and other costs'!$B$18*AU36</f>
        <v>0</v>
      </c>
      <c r="BC36" s="2">
        <f>H36*G36</f>
        <v>0</v>
      </c>
      <c r="BD36" s="2">
        <f>IF('Study Information &amp; rates'!$B$44='Study Information &amp; rates'!$V$12,BC36*0.287,0)</f>
        <v>0</v>
      </c>
      <c r="BE36" s="2">
        <f>IF((Reconciliation!$C$5*1.287)&gt;5000,BC36*0.05,0)</f>
        <v>0</v>
      </c>
      <c r="BF36" s="2">
        <f>BC36+BD36+BE36</f>
        <v>0</v>
      </c>
      <c r="BG36" s="6" t="b">
        <f>IF($B36='Look Up'!$A$5,$H36)</f>
        <v>0</v>
      </c>
      <c r="BH36" s="6" t="b">
        <f>IF($B36='Look Up'!$A$6,$H36)</f>
        <v>0</v>
      </c>
      <c r="BI36" s="6" t="b">
        <f>IF($B36='Look Up'!$A$7,$H36)</f>
        <v>0</v>
      </c>
      <c r="BJ36" s="6" t="b">
        <f>IF($B36='Look Up'!$A$7,$H36)</f>
        <v>0</v>
      </c>
      <c r="BL36" s="6">
        <f>IF($B36='[7]Look Up'!$A$6,$C36*$H36,0)+IF($B36='[7]Look Up'!$A$7,$C36*$H36,0)</f>
        <v>0</v>
      </c>
      <c r="BM36" s="6">
        <f>IF($B36='[7]Look Up'!$A$6,$D36*$H36,0)+IF($B36='[7]Look Up'!$A$7,$D36*$H36,0)</f>
        <v>0</v>
      </c>
      <c r="BN36" s="6">
        <f>IF($B36='[7]Look Up'!$A$6,$E36*$H36,0)+IF($B36='[7]Look Up'!$A$7,$E36*$H36,0)</f>
        <v>0</v>
      </c>
      <c r="BO36" s="6">
        <f>IF($B36='[7]Look Up'!$A$6,$F36*$H36,0)+IF($B36='[7]Look Up'!$A$7,$F36*$H36,0)</f>
        <v>0</v>
      </c>
      <c r="BQ36" s="6">
        <f>$C36*'Study Information &amp; rates'!$B$101*IF('Study Information &amp; rates'!$B$44='Study Information &amp; rates'!$V$12,(SUM($H36:$AP36)*1.287),(SUM($H36:$AP36)))</f>
        <v>0</v>
      </c>
      <c r="BR36" s="6">
        <f>$D36*'Study Information &amp; rates'!$C$101*IF('Study Information &amp; rates'!$B$44='Study Information &amp; rates'!$V$12,(SUM($H36:$AP36)*1.287),(SUM($H36:$AP36)))</f>
        <v>0</v>
      </c>
      <c r="BS36" s="6">
        <f>$E36*'Study Information &amp; rates'!$D$101*IF('Study Information &amp; rates'!$B$44='Study Information &amp; rates'!$V$12,(SUM($H36:$AP36)*1.287),(SUM($H36:$AP36)))</f>
        <v>0</v>
      </c>
      <c r="BT36" s="6">
        <f>$F36*'Study Information &amp; rates'!$F$101*IF('Study Information &amp; rates'!$B$44='Study Information &amp; rates'!$V$12,(SUM($H36:$AP36)*1.287),(SUM($H36:$AP36)))</f>
        <v>0</v>
      </c>
    </row>
    <row r="37" spans="1:72">
      <c r="A37" s="8"/>
      <c r="B37" s="8"/>
      <c r="C37" s="326"/>
      <c r="D37" s="326"/>
      <c r="E37" s="326"/>
      <c r="F37" s="326"/>
      <c r="G37" s="532">
        <f>IF(ISERROR((C37*'Study Information &amp; rates'!$B$101+D37*'Study Information &amp; rates'!$C$101+E37*'Study Information &amp; rates'!$D$101+F37*'Study Information &amp; rates'!$F$101)),0,(C37*'Study Information &amp; rates'!$B$101+D37*'Study Information &amp; rates'!$C$101+E37*'Study Information &amp; rates'!$D$101+F37*'Study Information &amp; rates'!$F$101))</f>
        <v>0</v>
      </c>
      <c r="H37" s="32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428"/>
      <c r="AR37" s="440">
        <f>(SUM(H37:AP37))*G37</f>
        <v>0</v>
      </c>
      <c r="AS37" s="440">
        <f>IF('Study Information &amp; rates'!$B$44="Yes",AR37*0.287,0)</f>
        <v>0</v>
      </c>
      <c r="AT37" s="440">
        <f>IF('Study Information &amp; rates'!$B$44="No",0,AR37*0.05)</f>
        <v>0</v>
      </c>
      <c r="AU37" s="440">
        <f>AR37+AS37+AT37</f>
        <v>0</v>
      </c>
      <c r="AV37" s="440">
        <f>'Set-up and other costs'!$B$18*AU37</f>
        <v>0</v>
      </c>
      <c r="BC37" s="2">
        <f>H37*G37</f>
        <v>0</v>
      </c>
      <c r="BD37" s="2">
        <f>IF('Study Information &amp; rates'!$B$44='Study Information &amp; rates'!$V$12,BC37*0.287,0)</f>
        <v>0</v>
      </c>
      <c r="BE37" s="2">
        <f>IF((Reconciliation!$C$5*1.287)&gt;5000,BC37*0.05,0)</f>
        <v>0</v>
      </c>
      <c r="BF37" s="2">
        <f>BC37+BD37+BE37</f>
        <v>0</v>
      </c>
      <c r="BG37" s="6" t="b">
        <f>IF($B37='Look Up'!$A$5,$H37)</f>
        <v>0</v>
      </c>
      <c r="BH37" s="6" t="b">
        <f>IF($B37='Look Up'!$A$6,$H37)</f>
        <v>0</v>
      </c>
      <c r="BI37" s="6" t="b">
        <f>IF($B37='Look Up'!$A$7,$H37)</f>
        <v>0</v>
      </c>
      <c r="BJ37" s="6" t="b">
        <f>IF($B37='Look Up'!$A$7,$H37)</f>
        <v>0</v>
      </c>
      <c r="BL37" s="6">
        <f>IF($B37='[7]Look Up'!$A$6,$C37*$H37,0)+IF($B37='[7]Look Up'!$A$7,$C37*$H37,0)</f>
        <v>0</v>
      </c>
      <c r="BM37" s="6">
        <f>IF($B37='[7]Look Up'!$A$6,$D37*$H37,0)+IF($B37='[7]Look Up'!$A$7,$D37*$H37,0)</f>
        <v>0</v>
      </c>
      <c r="BN37" s="6">
        <f>IF($B37='[7]Look Up'!$A$6,$E37*$H37,0)+IF($B37='[7]Look Up'!$A$7,$E37*$H37,0)</f>
        <v>0</v>
      </c>
      <c r="BO37" s="6">
        <f>IF($B37='[7]Look Up'!$A$6,$F37*$H37,0)+IF($B37='[7]Look Up'!$A$7,$F37*$H37,0)</f>
        <v>0</v>
      </c>
      <c r="BQ37" s="6">
        <f>$C37*'Study Information &amp; rates'!$B$101*IF('Study Information &amp; rates'!$B$44='Study Information &amp; rates'!$V$12,(SUM($H37:$AP37)*1.287),(SUM($H37:$AP37)))</f>
        <v>0</v>
      </c>
      <c r="BR37" s="6">
        <f>$D37*'Study Information &amp; rates'!$C$101*IF('Study Information &amp; rates'!$B$44='Study Information &amp; rates'!$V$12,(SUM($H37:$AP37)*1.287),(SUM($H37:$AP37)))</f>
        <v>0</v>
      </c>
      <c r="BS37" s="6">
        <f>$E37*'Study Information &amp; rates'!$D$101*IF('Study Information &amp; rates'!$B$44='Study Information &amp; rates'!$V$12,(SUM($H37:$AP37)*1.287),(SUM($H37:$AP37)))</f>
        <v>0</v>
      </c>
      <c r="BT37" s="6">
        <f>$F37*'Study Information &amp; rates'!$F$101*IF('Study Information &amp; rates'!$B$44='Study Information &amp; rates'!$V$12,(SUM($H37:$AP37)*1.287),(SUM($H37:$AP37)))</f>
        <v>0</v>
      </c>
    </row>
    <row r="38" spans="1:72">
      <c r="A38" s="8"/>
      <c r="B38" s="8"/>
      <c r="C38" s="326"/>
      <c r="D38" s="326"/>
      <c r="E38" s="326"/>
      <c r="F38" s="326"/>
      <c r="G38" s="532">
        <f>IF(ISERROR((C38*'Study Information &amp; rates'!$B$101+D38*'Study Information &amp; rates'!$C$101+E38*'Study Information &amp; rates'!$D$101+F38*'Study Information &amp; rates'!$F$101)),0,(C38*'Study Information &amp; rates'!$B$101+D38*'Study Information &amp; rates'!$C$101+E38*'Study Information &amp; rates'!$D$101+F38*'Study Information &amp; rates'!$F$101))</f>
        <v>0</v>
      </c>
      <c r="H38" s="32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428"/>
      <c r="AR38" s="440">
        <f>(SUM(H38:AP38))*G38</f>
        <v>0</v>
      </c>
      <c r="AS38" s="440">
        <f>IF('Study Information &amp; rates'!$B$44="Yes",AR38*0.287,0)</f>
        <v>0</v>
      </c>
      <c r="AT38" s="440">
        <f>IF('Study Information &amp; rates'!$B$44="No",0,AR38*0.05)</f>
        <v>0</v>
      </c>
      <c r="AU38" s="440">
        <f>AR38+AS38+AT38</f>
        <v>0</v>
      </c>
      <c r="AV38" s="440">
        <f>'Set-up and other costs'!$B$18*AU38</f>
        <v>0</v>
      </c>
      <c r="BC38" s="2">
        <f>H38*G38</f>
        <v>0</v>
      </c>
      <c r="BD38" s="2">
        <f>IF('Study Information &amp; rates'!$B$44='Study Information &amp; rates'!$V$12,BC38*0.287,0)</f>
        <v>0</v>
      </c>
      <c r="BE38" s="2">
        <f>IF((Reconciliation!$C$5*1.287)&gt;5000,BC38*0.05,0)</f>
        <v>0</v>
      </c>
      <c r="BF38" s="2">
        <f>BC38+BD38+BE38</f>
        <v>0</v>
      </c>
      <c r="BG38" s="6" t="b">
        <f>IF($B38='Look Up'!$A$5,$H38)</f>
        <v>0</v>
      </c>
      <c r="BH38" s="6" t="b">
        <f>IF($B38='Look Up'!$A$6,$H38)</f>
        <v>0</v>
      </c>
      <c r="BI38" s="6" t="b">
        <f>IF($B38='Look Up'!$A$7,$H38)</f>
        <v>0</v>
      </c>
      <c r="BJ38" s="6" t="b">
        <f>IF($B38='Look Up'!$A$7,$H38)</f>
        <v>0</v>
      </c>
      <c r="BL38" s="6">
        <f>IF($B38='[7]Look Up'!$A$6,$C38*$H38,0)+IF($B38='[7]Look Up'!$A$7,$C38*$H38,0)</f>
        <v>0</v>
      </c>
      <c r="BM38" s="6">
        <f>IF($B38='[7]Look Up'!$A$6,$D38*$H38,0)+IF($B38='[7]Look Up'!$A$7,$D38*$H38,0)</f>
        <v>0</v>
      </c>
      <c r="BN38" s="6">
        <f>IF($B38='[7]Look Up'!$A$6,$E38*$H38,0)+IF($B38='[7]Look Up'!$A$7,$E38*$H38,0)</f>
        <v>0</v>
      </c>
      <c r="BO38" s="6">
        <f>IF($B38='[7]Look Up'!$A$6,$F38*$H38,0)+IF($B38='[7]Look Up'!$A$7,$F38*$H38,0)</f>
        <v>0</v>
      </c>
      <c r="BQ38" s="6">
        <f>$C38*'Study Information &amp; rates'!$B$101*IF('Study Information &amp; rates'!$B$44='Study Information &amp; rates'!$V$12,(SUM($H38:$AP38)*1.287),(SUM($H38:$AP38)))</f>
        <v>0</v>
      </c>
      <c r="BR38" s="6">
        <f>$D38*'Study Information &amp; rates'!$C$101*IF('Study Information &amp; rates'!$B$44='Study Information &amp; rates'!$V$12,(SUM($H38:$AP38)*1.287),(SUM($H38:$AP38)))</f>
        <v>0</v>
      </c>
      <c r="BS38" s="6">
        <f>$E38*'Study Information &amp; rates'!$D$101*IF('Study Information &amp; rates'!$B$44='Study Information &amp; rates'!$V$12,(SUM($H38:$AP38)*1.287),(SUM($H38:$AP38)))</f>
        <v>0</v>
      </c>
      <c r="BT38" s="6">
        <f>$F38*'Study Information &amp; rates'!$F$101*IF('Study Information &amp; rates'!$B$44='Study Information &amp; rates'!$V$12,(SUM($H38:$AP38)*1.287),(SUM($H38:$AP38)))</f>
        <v>0</v>
      </c>
    </row>
    <row r="39" spans="1:72">
      <c r="A39" s="8"/>
      <c r="B39" s="8"/>
      <c r="C39" s="326"/>
      <c r="D39" s="326"/>
      <c r="E39" s="326"/>
      <c r="F39" s="326"/>
      <c r="G39" s="532">
        <f>IF(ISERROR((C39*'Study Information &amp; rates'!$B$101+D39*'Study Information &amp; rates'!$C$101+E39*'Study Information &amp; rates'!$D$101+F39*'Study Information &amp; rates'!$F$101)),0,(C39*'Study Information &amp; rates'!$B$101+D39*'Study Information &amp; rates'!$C$101+E39*'Study Information &amp; rates'!$D$101+F39*'Study Information &amp; rates'!$F$101))</f>
        <v>0</v>
      </c>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428"/>
      <c r="AR39" s="440">
        <f>(SUM(H39:AP39))*G39</f>
        <v>0</v>
      </c>
      <c r="AS39" s="440">
        <f>IF('Study Information &amp; rates'!$B$44="Yes",AR39*0.287,0)</f>
        <v>0</v>
      </c>
      <c r="AT39" s="440">
        <f>IF('Study Information &amp; rates'!$B$44="No",0,AR39*0.05)</f>
        <v>0</v>
      </c>
      <c r="AU39" s="440">
        <f>AR39+AS39+AT39</f>
        <v>0</v>
      </c>
      <c r="AV39" s="440">
        <f>'Set-up and other costs'!$B$18*AU39</f>
        <v>0</v>
      </c>
      <c r="BC39" s="2">
        <f>H39*G39</f>
        <v>0</v>
      </c>
      <c r="BD39" s="2">
        <f>IF('Study Information &amp; rates'!$B$44='Study Information &amp; rates'!$V$12,BC39*0.287,0)</f>
        <v>0</v>
      </c>
      <c r="BE39" s="2">
        <f>IF((Reconciliation!$C$5*1.287)&gt;5000,BC39*0.05,0)</f>
        <v>0</v>
      </c>
      <c r="BF39" s="2">
        <f>BC39+BD39+BE39</f>
        <v>0</v>
      </c>
      <c r="BG39" s="6" t="b">
        <f>IF($B39='Look Up'!$A$5,$H39)</f>
        <v>0</v>
      </c>
      <c r="BH39" s="6" t="b">
        <f>IF($B39='Look Up'!$A$6,$H39)</f>
        <v>0</v>
      </c>
      <c r="BI39" s="6" t="b">
        <f>IF($B39='Look Up'!$A$7,$H39)</f>
        <v>0</v>
      </c>
      <c r="BJ39" s="6" t="b">
        <f>IF($B39='Look Up'!$A$7,$H39)</f>
        <v>0</v>
      </c>
      <c r="BL39" s="6">
        <f>IF($B39='[7]Look Up'!$A$6,$C39*$H39,0)+IF($B39='[7]Look Up'!$A$7,$C39*$H39,0)</f>
        <v>0</v>
      </c>
      <c r="BM39" s="6">
        <f>IF($B39='[7]Look Up'!$A$6,$D39*$H39,0)+IF($B39='[7]Look Up'!$A$7,$D39*$H39,0)</f>
        <v>0</v>
      </c>
      <c r="BN39" s="6">
        <f>IF($B39='[7]Look Up'!$A$6,$E39*$H39,0)+IF($B39='[7]Look Up'!$A$7,$E39*$H39,0)</f>
        <v>0</v>
      </c>
      <c r="BO39" s="6">
        <f>IF($B39='[7]Look Up'!$A$6,$F39*$H39,0)+IF($B39='[7]Look Up'!$A$7,$F39*$H39,0)</f>
        <v>0</v>
      </c>
      <c r="BQ39" s="6">
        <f>$C39*'Study Information &amp; rates'!$B$101*IF('Study Information &amp; rates'!$B$44='Study Information &amp; rates'!$V$12,(SUM($H39:$AP39)*1.287),(SUM($H39:$AP39)))</f>
        <v>0</v>
      </c>
      <c r="BR39" s="6">
        <f>$D39*'Study Information &amp; rates'!$C$101*IF('Study Information &amp; rates'!$B$44='Study Information &amp; rates'!$V$12,(SUM($H39:$AP39)*1.287),(SUM($H39:$AP39)))</f>
        <v>0</v>
      </c>
      <c r="BS39" s="6">
        <f>$E39*'Study Information &amp; rates'!$D$101*IF('Study Information &amp; rates'!$B$44='Study Information &amp; rates'!$V$12,(SUM($H39:$AP39)*1.287),(SUM($H39:$AP39)))</f>
        <v>0</v>
      </c>
      <c r="BT39" s="6">
        <f>$F39*'Study Information &amp; rates'!$F$101*IF('Study Information &amp; rates'!$B$44='Study Information &amp; rates'!$V$12,(SUM($H39:$AP39)*1.287),(SUM($H39:$AP39)))</f>
        <v>0</v>
      </c>
    </row>
    <row r="40" spans="1:72">
      <c r="A40" s="8"/>
      <c r="B40" s="8"/>
      <c r="C40" s="326"/>
      <c r="D40" s="326"/>
      <c r="E40" s="326"/>
      <c r="F40" s="326"/>
      <c r="G40" s="532">
        <f>IF(ISERROR((C40*'Study Information &amp; rates'!$B$101+D40*'Study Information &amp; rates'!$C$101+E40*'Study Information &amp; rates'!$D$101+F40*'Study Information &amp; rates'!$F$101)),0,(C40*'Study Information &amp; rates'!$B$101+D40*'Study Information &amp; rates'!$C$101+E40*'Study Information &amp; rates'!$D$101+F40*'Study Information &amp; rates'!$F$101))</f>
        <v>0</v>
      </c>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428"/>
      <c r="AR40" s="440">
        <f>(SUM(H40:AP40))*G40</f>
        <v>0</v>
      </c>
      <c r="AS40" s="440">
        <f>IF('Study Information &amp; rates'!$B$44="Yes",AR40*0.287,0)</f>
        <v>0</v>
      </c>
      <c r="AT40" s="440">
        <f>IF('Study Information &amp; rates'!$B$44="No",0,AR40*0.05)</f>
        <v>0</v>
      </c>
      <c r="AU40" s="440">
        <f>AR40+AS40+AT40</f>
        <v>0</v>
      </c>
      <c r="AV40" s="440">
        <f>'Set-up and other costs'!$B$18*AU40</f>
        <v>0</v>
      </c>
      <c r="BC40" s="2">
        <f>H40*G40</f>
        <v>0</v>
      </c>
      <c r="BD40" s="2">
        <f>IF('Study Information &amp; rates'!$B$44='Study Information &amp; rates'!$V$12,BC40*0.287,0)</f>
        <v>0</v>
      </c>
      <c r="BE40" s="2">
        <f>IF((Reconciliation!$C$5*1.287)&gt;5000,BC40*0.05,0)</f>
        <v>0</v>
      </c>
      <c r="BF40" s="2">
        <f>BC40+BD40+BE40</f>
        <v>0</v>
      </c>
      <c r="BG40" s="6" t="b">
        <f>IF($B40='Look Up'!$A$5,$H40)</f>
        <v>0</v>
      </c>
      <c r="BH40" s="6" t="b">
        <f>IF($B40='Look Up'!$A$6,$H40)</f>
        <v>0</v>
      </c>
      <c r="BI40" s="6" t="b">
        <f>IF($B40='Look Up'!$A$7,$H40)</f>
        <v>0</v>
      </c>
      <c r="BJ40" s="6" t="b">
        <f>IF($B40='Look Up'!$A$7,$H40)</f>
        <v>0</v>
      </c>
      <c r="BL40" s="6">
        <f>IF($B40='[7]Look Up'!$A$6,$C40*$H40,0)+IF($B40='[7]Look Up'!$A$7,$C40*$H40,0)</f>
        <v>0</v>
      </c>
      <c r="BM40" s="6">
        <f>IF($B40='[7]Look Up'!$A$6,$D40*$H40,0)+IF($B40='[7]Look Up'!$A$7,$D40*$H40,0)</f>
        <v>0</v>
      </c>
      <c r="BN40" s="6">
        <f>IF($B40='[7]Look Up'!$A$6,$E40*$H40,0)+IF($B40='[7]Look Up'!$A$7,$E40*$H40,0)</f>
        <v>0</v>
      </c>
      <c r="BO40" s="6">
        <f>IF($B40='[7]Look Up'!$A$6,$F40*$H40,0)+IF($B40='[7]Look Up'!$A$7,$F40*$H40,0)</f>
        <v>0</v>
      </c>
      <c r="BQ40" s="6">
        <f>$C40*'Study Information &amp; rates'!$B$101*IF('Study Information &amp; rates'!$B$44='Study Information &amp; rates'!$V$12,(SUM($H40:$AP40)*1.287),(SUM($H40:$AP40)))</f>
        <v>0</v>
      </c>
      <c r="BR40" s="6">
        <f>$D40*'Study Information &amp; rates'!$C$101*IF('Study Information &amp; rates'!$B$44='Study Information &amp; rates'!$V$12,(SUM($H40:$AP40)*1.287),(SUM($H40:$AP40)))</f>
        <v>0</v>
      </c>
      <c r="BS40" s="6">
        <f>$E40*'Study Information &amp; rates'!$D$101*IF('Study Information &amp; rates'!$B$44='Study Information &amp; rates'!$V$12,(SUM($H40:$AP40)*1.287),(SUM($H40:$AP40)))</f>
        <v>0</v>
      </c>
      <c r="BT40" s="6">
        <f>$F40*'Study Information &amp; rates'!$F$101*IF('Study Information &amp; rates'!$B$44='Study Information &amp; rates'!$V$12,(SUM($H40:$AP40)*1.287),(SUM($H40:$AP40)))</f>
        <v>0</v>
      </c>
    </row>
    <row r="41" spans="1:72">
      <c r="A41" s="8"/>
      <c r="B41" s="8"/>
      <c r="C41" s="326"/>
      <c r="D41" s="326"/>
      <c r="E41" s="326"/>
      <c r="F41" s="326"/>
      <c r="G41" s="532">
        <f>IF(ISERROR((C41*'Study Information &amp; rates'!$B$101+D41*'Study Information &amp; rates'!$C$101+E41*'Study Information &amp; rates'!$D$101+F41*'Study Information &amp; rates'!$F$101)),0,(C41*'Study Information &amp; rates'!$B$101+D41*'Study Information &amp; rates'!$C$101+E41*'Study Information &amp; rates'!$D$101+F41*'Study Information &amp; rates'!$F$101))</f>
        <v>0</v>
      </c>
      <c r="H41" s="32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428"/>
      <c r="AR41" s="440">
        <f>(SUM(H41:AP41))*G41</f>
        <v>0</v>
      </c>
      <c r="AS41" s="440">
        <f>IF('Study Information &amp; rates'!$B$44="Yes",AR41*0.287,0)</f>
        <v>0</v>
      </c>
      <c r="AT41" s="440">
        <f>IF('Study Information &amp; rates'!$B$44="No",0,AR41*0.05)</f>
        <v>0</v>
      </c>
      <c r="AU41" s="440">
        <f>AR41+AS41+AT41</f>
        <v>0</v>
      </c>
      <c r="AV41" s="440">
        <f>'Set-up and other costs'!$B$18*AU41</f>
        <v>0</v>
      </c>
      <c r="BC41" s="2">
        <f>H41*G41</f>
        <v>0</v>
      </c>
      <c r="BD41" s="2">
        <f>IF('Study Information &amp; rates'!$B$44='Study Information &amp; rates'!$V$12,BC41*0.287,0)</f>
        <v>0</v>
      </c>
      <c r="BE41" s="2">
        <f>IF((Reconciliation!$C$5*1.287)&gt;5000,BC41*0.05,0)</f>
        <v>0</v>
      </c>
      <c r="BF41" s="2">
        <f>BC41+BD41+BE41</f>
        <v>0</v>
      </c>
      <c r="BG41" s="6" t="b">
        <f>IF($B41='Look Up'!$A$5,$H41)</f>
        <v>0</v>
      </c>
      <c r="BH41" s="6" t="b">
        <f>IF($B41='Look Up'!$A$6,$H41)</f>
        <v>0</v>
      </c>
      <c r="BI41" s="6" t="b">
        <f>IF($B41='Look Up'!$A$7,$H41)</f>
        <v>0</v>
      </c>
      <c r="BJ41" s="6" t="b">
        <f>IF($B41='Look Up'!$A$7,$H41)</f>
        <v>0</v>
      </c>
      <c r="BL41" s="6">
        <f>IF($B41='[7]Look Up'!$A$6,$C41*$H41,0)+IF($B41='[7]Look Up'!$A$7,$C41*$H41,0)</f>
        <v>0</v>
      </c>
      <c r="BM41" s="6">
        <f>IF($B41='[7]Look Up'!$A$6,$D41*$H41,0)+IF($B41='[7]Look Up'!$A$7,$D41*$H41,0)</f>
        <v>0</v>
      </c>
      <c r="BN41" s="6">
        <f>IF($B41='[7]Look Up'!$A$6,$E41*$H41,0)+IF($B41='[7]Look Up'!$A$7,$E41*$H41,0)</f>
        <v>0</v>
      </c>
      <c r="BO41" s="6">
        <f>IF($B41='[7]Look Up'!$A$6,$F41*$H41,0)+IF($B41='[7]Look Up'!$A$7,$F41*$H41,0)</f>
        <v>0</v>
      </c>
      <c r="BQ41" s="6">
        <f>$C41*'Study Information &amp; rates'!$B$101*IF('Study Information &amp; rates'!$B$44='Study Information &amp; rates'!$V$12,(SUM($H41:$AP41)*1.287),(SUM($H41:$AP41)))</f>
        <v>0</v>
      </c>
      <c r="BR41" s="6">
        <f>$D41*'Study Information &amp; rates'!$C$101*IF('Study Information &amp; rates'!$B$44='Study Information &amp; rates'!$V$12,(SUM($H41:$AP41)*1.287),(SUM($H41:$AP41)))</f>
        <v>0</v>
      </c>
      <c r="BS41" s="6">
        <f>$E41*'Study Information &amp; rates'!$D$101*IF('Study Information &amp; rates'!$B$44='Study Information &amp; rates'!$V$12,(SUM($H41:$AP41)*1.287),(SUM($H41:$AP41)))</f>
        <v>0</v>
      </c>
      <c r="BT41" s="6">
        <f>$F41*'Study Information &amp; rates'!$F$101*IF('Study Information &amp; rates'!$B$44='Study Information &amp; rates'!$V$12,(SUM($H41:$AP41)*1.287),(SUM($H41:$AP41)))</f>
        <v>0</v>
      </c>
    </row>
    <row r="42" spans="1:72">
      <c r="A42" s="8"/>
      <c r="B42" s="8"/>
      <c r="C42" s="326"/>
      <c r="D42" s="326"/>
      <c r="E42" s="326"/>
      <c r="F42" s="326"/>
      <c r="G42" s="532">
        <f>IF(ISERROR((C42*'Study Information &amp; rates'!$B$101+D42*'Study Information &amp; rates'!$C$101+E42*'Study Information &amp; rates'!$D$101+F42*'Study Information &amp; rates'!$F$101)),0,(C42*'Study Information &amp; rates'!$B$101+D42*'Study Information &amp; rates'!$C$101+E42*'Study Information &amp; rates'!$D$101+F42*'Study Information &amp; rates'!$F$101))</f>
        <v>0</v>
      </c>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428"/>
      <c r="AR42" s="440">
        <f>(SUM(H42:AP42))*G42</f>
        <v>0</v>
      </c>
      <c r="AS42" s="440">
        <f>IF('Study Information &amp; rates'!$B$44="Yes",AR42*0.287,0)</f>
        <v>0</v>
      </c>
      <c r="AT42" s="440">
        <f>IF('Study Information &amp; rates'!$B$44="No",0,AR42*0.05)</f>
        <v>0</v>
      </c>
      <c r="AU42" s="440">
        <f>AR42+AS42+AT42</f>
        <v>0</v>
      </c>
      <c r="AV42" s="440">
        <f>'Set-up and other costs'!$B$18*AU42</f>
        <v>0</v>
      </c>
      <c r="BC42" s="2">
        <f>H42*G42</f>
        <v>0</v>
      </c>
      <c r="BD42" s="2">
        <f>IF('Study Information &amp; rates'!$B$44='Study Information &amp; rates'!$V$12,BC42*0.287,0)</f>
        <v>0</v>
      </c>
      <c r="BE42" s="2">
        <f>IF((Reconciliation!$C$5*1.287)&gt;5000,BC42*0.05,0)</f>
        <v>0</v>
      </c>
      <c r="BF42" s="2">
        <f>BC42+BD42+BE42</f>
        <v>0</v>
      </c>
      <c r="BG42" s="6" t="b">
        <f>IF($B42='Look Up'!$A$5,$H42)</f>
        <v>0</v>
      </c>
      <c r="BH42" s="6" t="b">
        <f>IF($B42='Look Up'!$A$6,$H42)</f>
        <v>0</v>
      </c>
      <c r="BI42" s="6" t="b">
        <f>IF($B42='Look Up'!$A$7,$H42)</f>
        <v>0</v>
      </c>
      <c r="BJ42" s="6" t="b">
        <f>IF($B42='Look Up'!$A$7,$H42)</f>
        <v>0</v>
      </c>
      <c r="BL42" s="6">
        <f>IF($B42='[7]Look Up'!$A$6,$C42*$H42,0)+IF($B42='[7]Look Up'!$A$7,$C42*$H42,0)</f>
        <v>0</v>
      </c>
      <c r="BM42" s="6">
        <f>IF($B42='[7]Look Up'!$A$6,$D42*$H42,0)+IF($B42='[7]Look Up'!$A$7,$D42*$H42,0)</f>
        <v>0</v>
      </c>
      <c r="BN42" s="6">
        <f>IF($B42='[7]Look Up'!$A$6,$E42*$H42,0)+IF($B42='[7]Look Up'!$A$7,$E42*$H42,0)</f>
        <v>0</v>
      </c>
      <c r="BO42" s="6">
        <f>IF($B42='[7]Look Up'!$A$6,$F42*$H42,0)+IF($B42='[7]Look Up'!$A$7,$F42*$H42,0)</f>
        <v>0</v>
      </c>
      <c r="BQ42" s="6">
        <f>$C42*'Study Information &amp; rates'!$B$101*IF('Study Information &amp; rates'!$B$44='Study Information &amp; rates'!$V$12,(SUM($H42:$AP42)*1.287),(SUM($H42:$AP42)))</f>
        <v>0</v>
      </c>
      <c r="BR42" s="6">
        <f>$D42*'Study Information &amp; rates'!$C$101*IF('Study Information &amp; rates'!$B$44='Study Information &amp; rates'!$V$12,(SUM($H42:$AP42)*1.287),(SUM($H42:$AP42)))</f>
        <v>0</v>
      </c>
      <c r="BS42" s="6">
        <f>$E42*'Study Information &amp; rates'!$D$101*IF('Study Information &amp; rates'!$B$44='Study Information &amp; rates'!$V$12,(SUM($H42:$AP42)*1.287),(SUM($H42:$AP42)))</f>
        <v>0</v>
      </c>
      <c r="BT42" s="6">
        <f>$F42*'Study Information &amp; rates'!$F$101*IF('Study Information &amp; rates'!$B$44='Study Information &amp; rates'!$V$12,(SUM($H42:$AP42)*1.287),(SUM($H42:$AP42)))</f>
        <v>0</v>
      </c>
    </row>
    <row r="43" spans="1:72">
      <c r="A43" s="8"/>
      <c r="B43" s="8"/>
      <c r="C43" s="326"/>
      <c r="D43" s="326"/>
      <c r="E43" s="326"/>
      <c r="F43" s="326"/>
      <c r="G43" s="532">
        <f>IF(ISERROR((C43*'Study Information &amp; rates'!$B$101+D43*'Study Information &amp; rates'!$C$101+E43*'Study Information &amp; rates'!$D$101+F43*'Study Information &amp; rates'!$F$101)),0,(C43*'Study Information &amp; rates'!$B$101+D43*'Study Information &amp; rates'!$C$101+E43*'Study Information &amp; rates'!$D$101+F43*'Study Information &amp; rates'!$F$101))</f>
        <v>0</v>
      </c>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428"/>
      <c r="AR43" s="440">
        <f>(SUM(H43:AP43))*G43</f>
        <v>0</v>
      </c>
      <c r="AS43" s="440">
        <f>IF('Study Information &amp; rates'!$B$44="Yes",AR43*0.287,0)</f>
        <v>0</v>
      </c>
      <c r="AT43" s="440">
        <f>IF('Study Information &amp; rates'!$B$44="No",0,AR43*0.05)</f>
        <v>0</v>
      </c>
      <c r="AU43" s="440">
        <f>AR43+AS43+AT43</f>
        <v>0</v>
      </c>
      <c r="AV43" s="440">
        <f>'Set-up and other costs'!$B$18*AU43</f>
        <v>0</v>
      </c>
      <c r="BC43" s="2">
        <f>H43*G43</f>
        <v>0</v>
      </c>
      <c r="BD43" s="2">
        <f>IF('Study Information &amp; rates'!$B$44='Study Information &amp; rates'!$V$12,BC43*0.287,0)</f>
        <v>0</v>
      </c>
      <c r="BE43" s="2">
        <f>IF((Reconciliation!$C$5*1.287)&gt;5000,BC43*0.05,0)</f>
        <v>0</v>
      </c>
      <c r="BF43" s="2">
        <f>BC43+BD43+BE43</f>
        <v>0</v>
      </c>
      <c r="BG43" s="6" t="b">
        <f>IF($B43='Look Up'!$A$5,$H43)</f>
        <v>0</v>
      </c>
      <c r="BH43" s="6" t="b">
        <f>IF($B43='Look Up'!$A$6,$H43)</f>
        <v>0</v>
      </c>
      <c r="BI43" s="6" t="b">
        <f>IF($B43='Look Up'!$A$7,$H43)</f>
        <v>0</v>
      </c>
      <c r="BJ43" s="6" t="b">
        <f>IF($B43='Look Up'!$A$7,$H43)</f>
        <v>0</v>
      </c>
      <c r="BL43" s="6">
        <f>IF($B43='[7]Look Up'!$A$6,$C43*$H43,0)+IF($B43='[7]Look Up'!$A$7,$C43*$H43,0)</f>
        <v>0</v>
      </c>
      <c r="BM43" s="6">
        <f>IF($B43='[7]Look Up'!$A$6,$D43*$H43,0)+IF($B43='[7]Look Up'!$A$7,$D43*$H43,0)</f>
        <v>0</v>
      </c>
      <c r="BN43" s="6">
        <f>IF($B43='[7]Look Up'!$A$6,$E43*$H43,0)+IF($B43='[7]Look Up'!$A$7,$E43*$H43,0)</f>
        <v>0</v>
      </c>
      <c r="BO43" s="6">
        <f>IF($B43='[7]Look Up'!$A$6,$F43*$H43,0)+IF($B43='[7]Look Up'!$A$7,$F43*$H43,0)</f>
        <v>0</v>
      </c>
      <c r="BQ43" s="6">
        <f>$C43*'Study Information &amp; rates'!$B$101*IF('Study Information &amp; rates'!$B$44='Study Information &amp; rates'!$V$12,(SUM($H43:$AP43)*1.287),(SUM($H43:$AP43)))</f>
        <v>0</v>
      </c>
      <c r="BR43" s="6">
        <f>$D43*'Study Information &amp; rates'!$C$101*IF('Study Information &amp; rates'!$B$44='Study Information &amp; rates'!$V$12,(SUM($H43:$AP43)*1.287),(SUM($H43:$AP43)))</f>
        <v>0</v>
      </c>
      <c r="BS43" s="6">
        <f>$E43*'Study Information &amp; rates'!$D$101*IF('Study Information &amp; rates'!$B$44='Study Information &amp; rates'!$V$12,(SUM($H43:$AP43)*1.287),(SUM($H43:$AP43)))</f>
        <v>0</v>
      </c>
      <c r="BT43" s="6">
        <f>$F43*'Study Information &amp; rates'!$F$101*IF('Study Information &amp; rates'!$B$44='Study Information &amp; rates'!$V$12,(SUM($H43:$AP43)*1.287),(SUM($H43:$AP43)))</f>
        <v>0</v>
      </c>
    </row>
    <row r="44" spans="1:72">
      <c r="A44" s="8"/>
      <c r="B44" s="8"/>
      <c r="C44" s="326"/>
      <c r="D44" s="326"/>
      <c r="E44" s="326"/>
      <c r="F44" s="326"/>
      <c r="G44" s="532">
        <f>IF(ISERROR((C44*'Study Information &amp; rates'!$B$101+D44*'Study Information &amp; rates'!$C$101+E44*'Study Information &amp; rates'!$D$101+F44*'Study Information &amp; rates'!$F$101)),0,(C44*'Study Information &amp; rates'!$B$101+D44*'Study Information &amp; rates'!$C$101+E44*'Study Information &amp; rates'!$D$101+F44*'Study Information &amp; rates'!$F$101))</f>
        <v>0</v>
      </c>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428"/>
      <c r="AR44" s="440">
        <f>(SUM(H44:AP44))*G44</f>
        <v>0</v>
      </c>
      <c r="AS44" s="440">
        <f>IF('Study Information &amp; rates'!$B$44="Yes",AR44*0.287,0)</f>
        <v>0</v>
      </c>
      <c r="AT44" s="440">
        <f>IF('Study Information &amp; rates'!$B$44="No",0,AR44*0.05)</f>
        <v>0</v>
      </c>
      <c r="AU44" s="440">
        <f>AR44+AS44+AT44</f>
        <v>0</v>
      </c>
      <c r="AV44" s="440">
        <f>'Set-up and other costs'!$B$18*AU44</f>
        <v>0</v>
      </c>
      <c r="AW44" s="238"/>
      <c r="BC44" s="2">
        <f>H44*G44</f>
        <v>0</v>
      </c>
      <c r="BD44" s="2">
        <f>IF('Study Information &amp; rates'!$B$44='Study Information &amp; rates'!$V$12,BC44*0.287,0)</f>
        <v>0</v>
      </c>
      <c r="BE44" s="2">
        <f>IF((Reconciliation!$C$5*1.287)&gt;5000,BC44*0.05,0)</f>
        <v>0</v>
      </c>
      <c r="BF44" s="2">
        <f>BC44+BD44+BE44</f>
        <v>0</v>
      </c>
      <c r="BG44" s="6" t="b">
        <f>IF($B44='Look Up'!$A$5,$H44)</f>
        <v>0</v>
      </c>
      <c r="BH44" s="6" t="b">
        <f>IF($B44='Look Up'!$A$6,$H44)</f>
        <v>0</v>
      </c>
      <c r="BI44" s="6" t="b">
        <f>IF($B44='Look Up'!$A$7,$H44)</f>
        <v>0</v>
      </c>
      <c r="BJ44" s="6" t="b">
        <f>IF($B44='Look Up'!$A$7,$H44)</f>
        <v>0</v>
      </c>
      <c r="BL44" s="6">
        <f>IF($B44='[7]Look Up'!$A$6,$C44*$H44,0)+IF($B44='[7]Look Up'!$A$7,$C44*$H44,0)</f>
        <v>0</v>
      </c>
      <c r="BM44" s="6">
        <f>IF($B44='[7]Look Up'!$A$6,$D44*$H44,0)+IF($B44='[7]Look Up'!$A$7,$D44*$H44,0)</f>
        <v>0</v>
      </c>
      <c r="BN44" s="6">
        <f>IF($B44='[7]Look Up'!$A$6,$E44*$H44,0)+IF($B44='[7]Look Up'!$A$7,$E44*$H44,0)</f>
        <v>0</v>
      </c>
      <c r="BO44" s="6">
        <f>IF($B44='[7]Look Up'!$A$6,$F44*$H44,0)+IF($B44='[7]Look Up'!$A$7,$F44*$H44,0)</f>
        <v>0</v>
      </c>
      <c r="BQ44" s="6">
        <f>$C44*'Study Information &amp; rates'!$B$101*IF('Study Information &amp; rates'!$B$44='Study Information &amp; rates'!$V$12,(SUM($H44:$AP44)*1.287),(SUM($H44:$AP44)))</f>
        <v>0</v>
      </c>
      <c r="BR44" s="6">
        <f>$D44*'Study Information &amp; rates'!$C$101*IF('Study Information &amp; rates'!$B$44='Study Information &amp; rates'!$V$12,(SUM($H44:$AP44)*1.287),(SUM($H44:$AP44)))</f>
        <v>0</v>
      </c>
      <c r="BS44" s="6">
        <f>$E44*'Study Information &amp; rates'!$D$101*IF('Study Information &amp; rates'!$B$44='Study Information &amp; rates'!$V$12,(SUM($H44:$AP44)*1.287),(SUM($H44:$AP44)))</f>
        <v>0</v>
      </c>
      <c r="BT44" s="6">
        <f>$F44*'Study Information &amp; rates'!$F$101*IF('Study Information &amp; rates'!$B$44='Study Information &amp; rates'!$V$12,(SUM($H44:$AP44)*1.287),(SUM($H44:$AP44)))</f>
        <v>0</v>
      </c>
    </row>
    <row r="45" spans="1:72">
      <c r="A45" s="8"/>
      <c r="B45" s="8"/>
      <c r="C45" s="326"/>
      <c r="D45" s="326"/>
      <c r="E45" s="326"/>
      <c r="F45" s="326"/>
      <c r="G45" s="532">
        <f>IF(ISERROR((C45*'Study Information &amp; rates'!$B$101+D45*'Study Information &amp; rates'!$C$101+E45*'Study Information &amp; rates'!$D$101+F45*'Study Information &amp; rates'!$F$101)),0,(C45*'Study Information &amp; rates'!$B$101+D45*'Study Information &amp; rates'!$C$101+E45*'Study Information &amp; rates'!$D$101+F45*'Study Information &amp; rates'!$F$101))</f>
        <v>0</v>
      </c>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428"/>
      <c r="AR45" s="440">
        <f>(SUM(H45:AP45))*G45</f>
        <v>0</v>
      </c>
      <c r="AS45" s="440">
        <f>IF('Study Information &amp; rates'!$B$44="Yes",AR45*0.287,0)</f>
        <v>0</v>
      </c>
      <c r="AT45" s="440">
        <f>IF('Study Information &amp; rates'!$B$44="No",0,AR45*0.05)</f>
        <v>0</v>
      </c>
      <c r="AU45" s="440">
        <f>AR45+AS45+AT45</f>
        <v>0</v>
      </c>
      <c r="AV45" s="440">
        <f>'Set-up and other costs'!$B$18*AU45</f>
        <v>0</v>
      </c>
      <c r="BC45" s="2">
        <f>H45*G45</f>
        <v>0</v>
      </c>
      <c r="BD45" s="2">
        <f>IF('Study Information &amp; rates'!$B$44='Study Information &amp; rates'!$V$12,BC45*0.287,0)</f>
        <v>0</v>
      </c>
      <c r="BE45" s="2">
        <f>IF((Reconciliation!$C$5*1.287)&gt;5000,BC45*0.05,0)</f>
        <v>0</v>
      </c>
      <c r="BF45" s="2">
        <f>BC45+BD45+BE45</f>
        <v>0</v>
      </c>
      <c r="BG45" s="6" t="b">
        <f>IF($B45='Look Up'!$A$5,$H45)</f>
        <v>0</v>
      </c>
      <c r="BH45" s="6" t="b">
        <f>IF($B45='Look Up'!$A$6,$H45)</f>
        <v>0</v>
      </c>
      <c r="BI45" s="6" t="b">
        <f>IF($B45='Look Up'!$A$7,$H45)</f>
        <v>0</v>
      </c>
      <c r="BJ45" s="6" t="b">
        <f>IF($B45='Look Up'!$A$7,$H45)</f>
        <v>0</v>
      </c>
      <c r="BL45" s="6">
        <f>IF($B45='[7]Look Up'!$A$6,$C45*$H45,0)+IF($B45='[7]Look Up'!$A$7,$C45*$H45,0)</f>
        <v>0</v>
      </c>
      <c r="BM45" s="6">
        <f>IF($B45='[7]Look Up'!$A$6,$D45*$H45,0)+IF($B45='[7]Look Up'!$A$7,$D45*$H45,0)</f>
        <v>0</v>
      </c>
      <c r="BN45" s="6">
        <f>IF($B45='[7]Look Up'!$A$6,$E45*$H45,0)+IF($B45='[7]Look Up'!$A$7,$E45*$H45,0)</f>
        <v>0</v>
      </c>
      <c r="BO45" s="6">
        <f>IF($B45='[7]Look Up'!$A$6,$F45*$H45,0)+IF($B45='[7]Look Up'!$A$7,$F45*$H45,0)</f>
        <v>0</v>
      </c>
      <c r="BQ45" s="6">
        <f>$C45*'Study Information &amp; rates'!$B$101*IF('Study Information &amp; rates'!$B$44='Study Information &amp; rates'!$V$12,(SUM($H45:$AP45)*1.287),(SUM($H45:$AP45)))</f>
        <v>0</v>
      </c>
      <c r="BR45" s="6">
        <f>$D45*'Study Information &amp; rates'!$C$101*IF('Study Information &amp; rates'!$B$44='Study Information &amp; rates'!$V$12,(SUM($H45:$AP45)*1.287),(SUM($H45:$AP45)))</f>
        <v>0</v>
      </c>
      <c r="BS45" s="6">
        <f>$E45*'Study Information &amp; rates'!$D$101*IF('Study Information &amp; rates'!$B$44='Study Information &amp; rates'!$V$12,(SUM($H45:$AP45)*1.287),(SUM($H45:$AP45)))</f>
        <v>0</v>
      </c>
      <c r="BT45" s="6">
        <f>$F45*'Study Information &amp; rates'!$F$101*IF('Study Information &amp; rates'!$B$44='Study Information &amp; rates'!$V$12,(SUM($H45:$AP45)*1.287),(SUM($H45:$AP45)))</f>
        <v>0</v>
      </c>
    </row>
    <row r="46" spans="1:72" s="13" customFormat="1">
      <c r="A46" s="8"/>
      <c r="B46" s="8"/>
      <c r="C46" s="326"/>
      <c r="D46" s="326"/>
      <c r="E46" s="326"/>
      <c r="F46" s="326"/>
      <c r="G46" s="532">
        <f>IF(ISERROR((C46*'Study Information &amp; rates'!$B$101+D46*'Study Information &amp; rates'!$C$101+E46*'Study Information &amp; rates'!$D$101+F46*'Study Information &amp; rates'!$F$101)),0,(C46*'Study Information &amp; rates'!$B$101+D46*'Study Information &amp; rates'!$C$101+E46*'Study Information &amp; rates'!$D$101+F46*'Study Information &amp; rates'!$F$101))</f>
        <v>0</v>
      </c>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428"/>
      <c r="AR46" s="440">
        <f>(SUM(H46:AP46))*G46</f>
        <v>0</v>
      </c>
      <c r="AS46" s="440">
        <f>IF('Study Information &amp; rates'!$B$44="Yes",AR46*0.287,0)</f>
        <v>0</v>
      </c>
      <c r="AT46" s="440">
        <f>IF('Study Information &amp; rates'!$B$44="No",0,AR46*0.05)</f>
        <v>0</v>
      </c>
      <c r="AU46" s="440">
        <f>AR46+AS46+AT46</f>
        <v>0</v>
      </c>
      <c r="AV46" s="440">
        <f>'Set-up and other costs'!$B$18*AU46</f>
        <v>0</v>
      </c>
      <c r="BC46" s="2">
        <f>H46*G46</f>
        <v>0</v>
      </c>
      <c r="BD46" s="2">
        <f>IF('Study Information &amp; rates'!$B$44='Study Information &amp; rates'!$V$12,BC46*0.287,0)</f>
        <v>0</v>
      </c>
      <c r="BE46" s="2">
        <f>IF((Reconciliation!$C$5*1.287)&gt;5000,BC46*0.05,0)</f>
        <v>0</v>
      </c>
      <c r="BF46" s="2">
        <f>BC46+BD46+BE46</f>
        <v>0</v>
      </c>
      <c r="BG46" s="6" t="b">
        <f>IF($B46='Look Up'!$A$5,$H46)</f>
        <v>0</v>
      </c>
      <c r="BH46" s="6" t="b">
        <f>IF($B46='Look Up'!$A$6,$H46)</f>
        <v>0</v>
      </c>
      <c r="BI46" s="6" t="b">
        <f>IF($B46='Look Up'!$A$7,$H46)</f>
        <v>0</v>
      </c>
      <c r="BJ46" s="6" t="b">
        <f>IF($B46='Look Up'!$A$7,$H46)</f>
        <v>0</v>
      </c>
      <c r="BL46" s="13">
        <f>IF($B46='[7]Look Up'!$A$6,$C46*$H46,0)+IF($B46='[7]Look Up'!$A$7,$C46*$H46,0)</f>
        <v>0</v>
      </c>
      <c r="BM46" s="13">
        <f>IF($B46='[7]Look Up'!$A$6,$D46*$H46,0)+IF($B46='[7]Look Up'!$A$7,$D46*$H46,0)</f>
        <v>0</v>
      </c>
      <c r="BN46" s="13">
        <f>IF($B46='[7]Look Up'!$A$6,$E46*$H46,0)+IF($B46='[7]Look Up'!$A$7,$E46*$H46,0)</f>
        <v>0</v>
      </c>
      <c r="BO46" s="13">
        <f>IF($B46='[7]Look Up'!$A$6,$F46*$H46,0)+IF($B46='[7]Look Up'!$A$7,$F46*$H46,0)</f>
        <v>0</v>
      </c>
      <c r="BQ46" s="6">
        <f>$C46*'Study Information &amp; rates'!$B$101*IF('Study Information &amp; rates'!$B$44='Study Information &amp; rates'!$V$12,(SUM($H46:$AP46)*1.287),(SUM($H46:$AP46)))</f>
        <v>0</v>
      </c>
      <c r="BR46" s="6">
        <f>$D46*'Study Information &amp; rates'!$C$101*IF('Study Information &amp; rates'!$B$44='Study Information &amp; rates'!$V$12,(SUM($H46:$AP46)*1.287),(SUM($H46:$AP46)))</f>
        <v>0</v>
      </c>
      <c r="BS46" s="6">
        <f>$E46*'Study Information &amp; rates'!$D$101*IF('Study Information &amp; rates'!$B$44='Study Information &amp; rates'!$V$12,(SUM($H46:$AP46)*1.287),(SUM($H46:$AP46)))</f>
        <v>0</v>
      </c>
      <c r="BT46" s="6">
        <f>$F46*'Study Information &amp; rates'!$F$101*IF('Study Information &amp; rates'!$B$44='Study Information &amp; rates'!$V$12,(SUM($H46:$AP46)*1.287),(SUM($H46:$AP46)))</f>
        <v>0</v>
      </c>
    </row>
    <row r="47" spans="1:72">
      <c r="A47" s="15"/>
      <c r="B47" s="15"/>
      <c r="C47" s="18"/>
      <c r="D47" s="18"/>
      <c r="E47" s="18"/>
      <c r="F47" s="18"/>
      <c r="G47" s="507"/>
      <c r="H47" s="508">
        <f>SUM(H8:H46)</f>
        <v>0</v>
      </c>
      <c r="I47" s="508">
        <f>SUM(I8:I46)</f>
        <v>0</v>
      </c>
      <c r="J47" s="508">
        <f>SUM(J8:J46)</f>
        <v>0</v>
      </c>
      <c r="K47" s="508">
        <f>SUM(K8:K46)</f>
        <v>0</v>
      </c>
      <c r="L47" s="508">
        <f>SUM(L8:L46)</f>
        <v>0</v>
      </c>
      <c r="M47" s="508">
        <f>SUM(M8:M46)</f>
        <v>0</v>
      </c>
      <c r="N47" s="508">
        <f>SUM(N8:N46)</f>
        <v>0</v>
      </c>
      <c r="O47" s="508">
        <f>SUM(O8:O46)</f>
        <v>0</v>
      </c>
      <c r="P47" s="508">
        <f>SUM(P8:P46)</f>
        <v>0</v>
      </c>
      <c r="Q47" s="508">
        <f>SUM(Q8:Q46)</f>
        <v>0</v>
      </c>
      <c r="R47" s="508">
        <f>SUM(R8:R46)</f>
        <v>0</v>
      </c>
      <c r="S47" s="508">
        <f>SUM(S8:S46)</f>
        <v>0</v>
      </c>
      <c r="T47" s="508">
        <f>SUM(T8:T46)</f>
        <v>0</v>
      </c>
      <c r="U47" s="508">
        <f>SUM(U8:U46)</f>
        <v>0</v>
      </c>
      <c r="V47" s="508">
        <f>SUM(V8:V46)</f>
        <v>0</v>
      </c>
      <c r="W47" s="508">
        <f>SUM(W8:W46)</f>
        <v>0</v>
      </c>
      <c r="X47" s="508">
        <f>SUM(X8:X46)</f>
        <v>0</v>
      </c>
      <c r="Y47" s="508">
        <f>SUM(Y8:Y46)</f>
        <v>0</v>
      </c>
      <c r="Z47" s="508">
        <f>SUM(Z8:Z46)</f>
        <v>0</v>
      </c>
      <c r="AA47" s="508">
        <f>SUM(AA8:AA46)</f>
        <v>0</v>
      </c>
      <c r="AB47" s="508">
        <f>SUM(AB8:AB46)</f>
        <v>0</v>
      </c>
      <c r="AC47" s="508">
        <f>SUM(AC8:AC46)</f>
        <v>0</v>
      </c>
      <c r="AD47" s="508">
        <f>SUM(AD8:AD46)</f>
        <v>0</v>
      </c>
      <c r="AE47" s="508">
        <f>SUM(AE8:AE46)</f>
        <v>0</v>
      </c>
      <c r="AF47" s="508">
        <f>SUM(AF8:AF46)</f>
        <v>0</v>
      </c>
      <c r="AG47" s="508">
        <f>SUM(AG8:AG46)</f>
        <v>0</v>
      </c>
      <c r="AH47" s="508">
        <f>SUM(AH8:AH46)</f>
        <v>0</v>
      </c>
      <c r="AI47" s="508">
        <f>SUM(AI8:AI46)</f>
        <v>0</v>
      </c>
      <c r="AJ47" s="508">
        <f>SUM(AJ8:AJ46)</f>
        <v>0</v>
      </c>
      <c r="AK47" s="508">
        <f>SUM(AK8:AK46)</f>
        <v>0</v>
      </c>
      <c r="AL47" s="508">
        <f>SUM(AL8:AL46)</f>
        <v>0</v>
      </c>
      <c r="AM47" s="508">
        <f>SUM(AM8:AM46)</f>
        <v>0</v>
      </c>
      <c r="AN47" s="508">
        <f>SUM(AN8:AN46)</f>
        <v>0</v>
      </c>
      <c r="AO47" s="508">
        <f>SUM(AO8:AO46)</f>
        <v>0</v>
      </c>
      <c r="AP47" s="508">
        <f>SUM(AP8:AP46)</f>
        <v>0</v>
      </c>
      <c r="AQ47" s="423"/>
      <c r="AR47" s="509">
        <f>SUM(AR8:AR46)</f>
        <v>0</v>
      </c>
      <c r="AS47" s="509">
        <f>SUM(AS8:AS46)</f>
        <v>0</v>
      </c>
      <c r="AT47" s="440">
        <f>IF('Study Information &amp; rates'!$B$44="No",0,AR47*0.05)</f>
        <v>0</v>
      </c>
      <c r="AU47" s="440">
        <f>AR47+AS47+AT47</f>
        <v>0</v>
      </c>
      <c r="AV47" s="440">
        <f>'Set-up and other costs'!$B$18*AU47</f>
        <v>0</v>
      </c>
      <c r="AW47" s="238"/>
      <c r="BQ47" s="6">
        <f>$C47*'Study Information &amp; rates'!$B$101*IF('Study Information &amp; rates'!$B$44='Study Information &amp; rates'!$V$12,(SUM($H47:$AP47)*1.287),(SUM($H47:$AP47)))</f>
        <v>0</v>
      </c>
      <c r="BR47" s="6">
        <f>$D47*'Study Information &amp; rates'!$C$101*IF('Study Information &amp; rates'!$B$44='Study Information &amp; rates'!$V$12,(SUM($H47:$AP47)*1.287),(SUM($H47:$AP47)))</f>
        <v>0</v>
      </c>
      <c r="BS47" s="6">
        <f>$E47*'Study Information &amp; rates'!$D$101*IF('Study Information &amp; rates'!$B$44='Study Information &amp; rates'!$V$12,(SUM($H47:$AP47)*1.287),(SUM($H47:$AP47)))</f>
        <v>0</v>
      </c>
      <c r="BT47" s="6">
        <f>$F47*'Study Information &amp; rates'!$F$101*IF('Study Information &amp; rates'!$B$44='Study Information &amp; rates'!$V$12,(SUM($H47:$AP47)*1.287),(SUM($H47:$AP47)))</f>
        <v>0</v>
      </c>
    </row>
    <row r="48" spans="1:58" ht="26">
      <c r="A48" s="15"/>
      <c r="B48" s="15"/>
      <c r="C48" s="18"/>
      <c r="D48" s="18"/>
      <c r="E48" s="18"/>
      <c r="F48" s="18"/>
      <c r="G48" s="439" t="s">
        <v>1970</v>
      </c>
      <c r="H48" s="508">
        <f>SUMPRODUCT($C8:$C46,H8:H46)</f>
        <v>0</v>
      </c>
      <c r="I48" s="508">
        <f>SUMPRODUCT($C8:$C46,I8:I46)</f>
        <v>0</v>
      </c>
      <c r="J48" s="508">
        <f>SUMPRODUCT($C8:$C46,J8:J46)</f>
        <v>0</v>
      </c>
      <c r="K48" s="508">
        <f>SUMPRODUCT($C8:$C46,K8:K46)</f>
        <v>0</v>
      </c>
      <c r="L48" s="508">
        <f>SUMPRODUCT($C8:$C46,L8:L46)</f>
        <v>0</v>
      </c>
      <c r="M48" s="508">
        <f>SUMPRODUCT($C8:$C46,M8:M46)</f>
        <v>0</v>
      </c>
      <c r="N48" s="508">
        <f>SUMPRODUCT($C8:$C46,N8:N46)</f>
        <v>0</v>
      </c>
      <c r="O48" s="508">
        <f>SUMPRODUCT($C8:$C46,O8:O46)</f>
        <v>0</v>
      </c>
      <c r="P48" s="508">
        <f>SUMPRODUCT($C8:$C46,P8:P46)</f>
        <v>0</v>
      </c>
      <c r="Q48" s="508">
        <f>SUMPRODUCT($C8:$C46,Q8:Q46)</f>
        <v>0</v>
      </c>
      <c r="R48" s="508">
        <f>SUMPRODUCT($C8:$C46,R8:R46)</f>
        <v>0</v>
      </c>
      <c r="S48" s="508">
        <f>SUMPRODUCT($C8:$C46,S8:S46)</f>
        <v>0</v>
      </c>
      <c r="T48" s="508">
        <f>SUMPRODUCT($C8:$C46,T8:T46)</f>
        <v>0</v>
      </c>
      <c r="U48" s="508">
        <f>SUMPRODUCT($C8:$C46,U8:U46)</f>
        <v>0</v>
      </c>
      <c r="V48" s="508">
        <f>SUMPRODUCT($C8:$C46,V8:V46)</f>
        <v>0</v>
      </c>
      <c r="W48" s="508">
        <f>SUMPRODUCT($C8:$C46,W8:W46)</f>
        <v>0</v>
      </c>
      <c r="X48" s="508">
        <f>SUMPRODUCT($C8:$C46,X8:X46)</f>
        <v>0</v>
      </c>
      <c r="Y48" s="508">
        <f>SUMPRODUCT($C8:$C46,Y8:Y46)</f>
        <v>0</v>
      </c>
      <c r="Z48" s="508">
        <f>SUMPRODUCT($C8:$C46,Z8:Z46)</f>
        <v>0</v>
      </c>
      <c r="AA48" s="508">
        <f>SUMPRODUCT($C8:$C46,AA8:AA46)</f>
        <v>0</v>
      </c>
      <c r="AB48" s="508">
        <f>SUMPRODUCT($C8:$C46,AB8:AB46)</f>
        <v>0</v>
      </c>
      <c r="AC48" s="508">
        <f>SUMPRODUCT($C8:$C46,AC8:AC46)</f>
        <v>0</v>
      </c>
      <c r="AD48" s="508">
        <f>SUMPRODUCT($C8:$C46,AD8:AD46)</f>
        <v>0</v>
      </c>
      <c r="AE48" s="508">
        <f>SUMPRODUCT($C8:$C46,AE8:AE46)</f>
        <v>0</v>
      </c>
      <c r="AF48" s="508">
        <f>SUMPRODUCT($C8:$C46,AF8:AF46)</f>
        <v>0</v>
      </c>
      <c r="AG48" s="508">
        <f>SUMPRODUCT($C8:$C46,AG8:AG46)</f>
        <v>0</v>
      </c>
      <c r="AH48" s="508">
        <f>SUMPRODUCT($C8:$C46,AH8:AH46)</f>
        <v>0</v>
      </c>
      <c r="AI48" s="508">
        <f>SUMPRODUCT($C8:$C46,AI8:AI46)</f>
        <v>0</v>
      </c>
      <c r="AJ48" s="508">
        <f>SUMPRODUCT($C8:$C46,AJ8:AJ46)</f>
        <v>0</v>
      </c>
      <c r="AK48" s="508">
        <f>SUMPRODUCT($C8:$C46,AK8:AK46)</f>
        <v>0</v>
      </c>
      <c r="AL48" s="508">
        <f>SUMPRODUCT($C8:$C46,AL8:AL46)</f>
        <v>0</v>
      </c>
      <c r="AM48" s="508">
        <f>SUMPRODUCT($C8:$C46,AM8:AM46)</f>
        <v>0</v>
      </c>
      <c r="AN48" s="508">
        <f>SUMPRODUCT($C8:$C46,AN8:AN46)</f>
        <v>0</v>
      </c>
      <c r="AO48" s="508">
        <f>SUMPRODUCT($C8:$C46,AO8:AO46)</f>
        <v>0</v>
      </c>
      <c r="AP48" s="508">
        <f>SUMPRODUCT($C8:$C46,AP8:AP46)</f>
        <v>0</v>
      </c>
      <c r="AQ48" s="429"/>
      <c r="AR48" s="440">
        <f>SUM(H48:AP48)*'Study Information &amp; rates'!B101</f>
        <v>0</v>
      </c>
      <c r="AS48" s="440">
        <f>IF('Study Information &amp; rates'!$B$44='Study Information &amp; rates'!$V$12,AR48*0.287,0)</f>
        <v>0</v>
      </c>
      <c r="AT48" s="440">
        <f>IF('Study Information &amp; rates'!$B$44="No",0,AR48*0.05)</f>
        <v>0</v>
      </c>
      <c r="AU48" s="440">
        <f>AR48+AS48+AT48</f>
        <v>0</v>
      </c>
      <c r="AV48" s="440">
        <f>'Set-up and other costs'!$B$18*AU48</f>
        <v>0</v>
      </c>
      <c r="BB48" s="4">
        <f>SUMIF($BH:$BH,1,$C:$C)+SUMIF($BJ:$BJ,1,$C:$C)</f>
        <v>0</v>
      </c>
      <c r="BC48" s="275">
        <f>BB48*'Study Information &amp; rates'!$B$101</f>
        <v>0</v>
      </c>
      <c r="BD48" s="2">
        <f>IF('Study Information &amp; rates'!$B$44='Study Information &amp; rates'!$V$12,BC48*0.287,0)</f>
        <v>0</v>
      </c>
      <c r="BE48" s="2">
        <f>IF(($AR$52*'Study Information &amp; rates'!$B$27)&gt;5000,BC48*0.05,0)</f>
        <v>0</v>
      </c>
      <c r="BF48" s="2">
        <f>BC48+BD48+BE48</f>
        <v>0</v>
      </c>
    </row>
    <row r="49" spans="1:58" ht="26">
      <c r="A49" s="15"/>
      <c r="B49" s="15"/>
      <c r="C49" s="18"/>
      <c r="D49" s="18"/>
      <c r="E49" s="18"/>
      <c r="F49" s="18"/>
      <c r="G49" s="439" t="s">
        <v>1971</v>
      </c>
      <c r="H49" s="508">
        <f>SUMPRODUCT($D8:$D46,H8:H46)</f>
        <v>0</v>
      </c>
      <c r="I49" s="508">
        <f>SUMPRODUCT($D8:$D46,I8:I46)</f>
        <v>0</v>
      </c>
      <c r="J49" s="508">
        <f>SUMPRODUCT($D8:$D46,J8:J46)</f>
        <v>0</v>
      </c>
      <c r="K49" s="508">
        <f>SUMPRODUCT($D8:$D46,K8:K46)</f>
        <v>0</v>
      </c>
      <c r="L49" s="508">
        <f>SUMPRODUCT($D8:$D46,L8:L46)</f>
        <v>0</v>
      </c>
      <c r="M49" s="508">
        <f>SUMPRODUCT($D8:$D46,M8:M46)</f>
        <v>0</v>
      </c>
      <c r="N49" s="508">
        <f>SUMPRODUCT($D8:$D46,N8:N46)</f>
        <v>0</v>
      </c>
      <c r="O49" s="508">
        <f>SUMPRODUCT($D8:$D46,O8:O46)</f>
        <v>0</v>
      </c>
      <c r="P49" s="508">
        <f>SUMPRODUCT($D8:$D46,P8:P46)</f>
        <v>0</v>
      </c>
      <c r="Q49" s="508">
        <f>SUMPRODUCT($D8:$D46,Q8:Q46)</f>
        <v>0</v>
      </c>
      <c r="R49" s="508">
        <f>SUMPRODUCT($D8:$D46,R8:R46)</f>
        <v>0</v>
      </c>
      <c r="S49" s="508">
        <f>SUMPRODUCT($D8:$D46,S8:S46)</f>
        <v>0</v>
      </c>
      <c r="T49" s="508">
        <f>SUMPRODUCT($D8:$D46,T8:T46)</f>
        <v>0</v>
      </c>
      <c r="U49" s="508">
        <f>SUMPRODUCT($D8:$D46,U8:U46)</f>
        <v>0</v>
      </c>
      <c r="V49" s="508">
        <f>SUMPRODUCT($D8:$D46,V8:V46)</f>
        <v>0</v>
      </c>
      <c r="W49" s="508">
        <f>SUMPRODUCT($D8:$D46,W8:W46)</f>
        <v>0</v>
      </c>
      <c r="X49" s="508">
        <f>SUMPRODUCT($D8:$D46,X8:X46)</f>
        <v>0</v>
      </c>
      <c r="Y49" s="508">
        <f>SUMPRODUCT($D8:$D46,Y8:Y46)</f>
        <v>0</v>
      </c>
      <c r="Z49" s="508">
        <f>SUMPRODUCT($D8:$D46,Z8:Z46)</f>
        <v>0</v>
      </c>
      <c r="AA49" s="508">
        <f>SUMPRODUCT($D8:$D46,AA8:AA46)</f>
        <v>0</v>
      </c>
      <c r="AB49" s="508">
        <f>SUMPRODUCT($D8:$D46,AB8:AB46)</f>
        <v>0</v>
      </c>
      <c r="AC49" s="508">
        <f>SUMPRODUCT($D8:$D46,AC8:AC46)</f>
        <v>0</v>
      </c>
      <c r="AD49" s="508">
        <f>SUMPRODUCT($D8:$D46,AD8:AD46)</f>
        <v>0</v>
      </c>
      <c r="AE49" s="508">
        <f>SUMPRODUCT($D8:$D46,AE8:AE46)</f>
        <v>0</v>
      </c>
      <c r="AF49" s="508">
        <f>SUMPRODUCT($D8:$D46,AF8:AF46)</f>
        <v>0</v>
      </c>
      <c r="AG49" s="508">
        <f>SUMPRODUCT($D8:$D46,AG8:AG46)</f>
        <v>0</v>
      </c>
      <c r="AH49" s="508">
        <f>SUMPRODUCT($D8:$D46,AH8:AH46)</f>
        <v>0</v>
      </c>
      <c r="AI49" s="508">
        <f>SUMPRODUCT($D8:$D46,AI8:AI46)</f>
        <v>0</v>
      </c>
      <c r="AJ49" s="508">
        <f>SUMPRODUCT($D8:$D46,AJ8:AJ46)</f>
        <v>0</v>
      </c>
      <c r="AK49" s="508">
        <f>SUMPRODUCT($D8:$D46,AK8:AK46)</f>
        <v>0</v>
      </c>
      <c r="AL49" s="508">
        <f>SUMPRODUCT($D8:$D46,AL8:AL46)</f>
        <v>0</v>
      </c>
      <c r="AM49" s="508">
        <f>SUMPRODUCT($D8:$D46,AM8:AM46)</f>
        <v>0</v>
      </c>
      <c r="AN49" s="508">
        <f>SUMPRODUCT($D8:$D46,AN8:AN46)</f>
        <v>0</v>
      </c>
      <c r="AO49" s="508">
        <f>SUMPRODUCT($D8:$D46,AO8:AO46)</f>
        <v>0</v>
      </c>
      <c r="AP49" s="508">
        <f>SUMPRODUCT($D8:$D46,AP8:AP46)</f>
        <v>0</v>
      </c>
      <c r="AQ49" s="429"/>
      <c r="AR49" s="440">
        <f>SUM(H49:AP49)*'Study Information &amp; rates'!C101</f>
        <v>0</v>
      </c>
      <c r="AS49" s="440">
        <f>IF('Study Information &amp; rates'!$B$44='Study Information &amp; rates'!$V$12,AR49*0.287,0)</f>
        <v>0</v>
      </c>
      <c r="AT49" s="440">
        <f>IF('Study Information &amp; rates'!$B$44="No",0,AR49*0.05)</f>
        <v>0</v>
      </c>
      <c r="AU49" s="440">
        <f>AR49+AS49+AT49</f>
        <v>0</v>
      </c>
      <c r="AV49" s="440">
        <f>'Set-up and other costs'!$B$18*AU49</f>
        <v>0</v>
      </c>
      <c r="BB49" s="4">
        <f>SUMIF($BH:$BH,1,$D:$D)+SUMIF($BJ:$BJ,1,$D:$D)</f>
        <v>0</v>
      </c>
      <c r="BC49" s="275">
        <f>BB49*'Study Information &amp; rates'!$C$101</f>
        <v>0</v>
      </c>
      <c r="BD49" s="2">
        <f>IF('Study Information &amp; rates'!$B$44='Study Information &amp; rates'!$V$12,BC49*0.287,0)</f>
        <v>0</v>
      </c>
      <c r="BE49" s="2">
        <f>IF(($AR$52*'Study Information &amp; rates'!$B$27)&gt;5000,BC49*0.05,0)</f>
        <v>0</v>
      </c>
      <c r="BF49" s="2">
        <f>BC49+BD49+BE49</f>
        <v>0</v>
      </c>
    </row>
    <row r="50" spans="1:58" ht="26">
      <c r="A50" s="15"/>
      <c r="B50" s="15"/>
      <c r="C50" s="18"/>
      <c r="D50" s="18"/>
      <c r="E50" s="18"/>
      <c r="F50" s="18"/>
      <c r="G50" s="439" t="s">
        <v>32</v>
      </c>
      <c r="H50" s="508">
        <f>SUMPRODUCT($E$8:$E46,H8:H46)</f>
        <v>0</v>
      </c>
      <c r="I50" s="508">
        <f>SUMPRODUCT($E$8:$E46,I8:I46)</f>
        <v>0</v>
      </c>
      <c r="J50" s="508">
        <f>SUMPRODUCT($E$8:$E46,J8:J46)</f>
        <v>0</v>
      </c>
      <c r="K50" s="508">
        <f>SUMPRODUCT($E$8:$E46,K8:K46)</f>
        <v>0</v>
      </c>
      <c r="L50" s="508">
        <f>SUMPRODUCT($E$8:$E46,L8:L46)</f>
        <v>0</v>
      </c>
      <c r="M50" s="508">
        <f>SUMPRODUCT($E$8:$E46,M8:M46)</f>
        <v>0</v>
      </c>
      <c r="N50" s="508">
        <f>SUMPRODUCT($E$8:$E46,N8:N46)</f>
        <v>0</v>
      </c>
      <c r="O50" s="508">
        <f>SUMPRODUCT($E$8:$E46,O8:O46)</f>
        <v>0</v>
      </c>
      <c r="P50" s="508">
        <f>SUMPRODUCT($E$8:$E46,P8:P46)</f>
        <v>0</v>
      </c>
      <c r="Q50" s="508">
        <f>SUMPRODUCT($E$8:$E46,Q8:Q46)</f>
        <v>0</v>
      </c>
      <c r="R50" s="508">
        <f>SUMPRODUCT($E$8:$E46,R8:R46)</f>
        <v>0</v>
      </c>
      <c r="S50" s="508">
        <f>SUMPRODUCT($E$8:$E46,S8:S46)</f>
        <v>0</v>
      </c>
      <c r="T50" s="508">
        <f>SUMPRODUCT($E$8:$E46,T8:T46)</f>
        <v>0</v>
      </c>
      <c r="U50" s="508">
        <f>SUMPRODUCT($E$8:$E46,U8:U46)</f>
        <v>0</v>
      </c>
      <c r="V50" s="508">
        <f>SUMPRODUCT($E$8:$E46,V8:V46)</f>
        <v>0</v>
      </c>
      <c r="W50" s="508">
        <f>SUMPRODUCT($E$8:$E46,W8:W46)</f>
        <v>0</v>
      </c>
      <c r="X50" s="508">
        <f>SUMPRODUCT($E$8:$E46,X8:X46)</f>
        <v>0</v>
      </c>
      <c r="Y50" s="508">
        <f>SUMPRODUCT($E$8:$E46,Y8:Y46)</f>
        <v>0</v>
      </c>
      <c r="Z50" s="508">
        <f>SUMPRODUCT($E$8:$E46,Z8:Z46)</f>
        <v>0</v>
      </c>
      <c r="AA50" s="508">
        <f>SUMPRODUCT($E$8:$E46,AA8:AA46)</f>
        <v>0</v>
      </c>
      <c r="AB50" s="508">
        <f>SUMPRODUCT($E$8:$E46,AB8:AB46)</f>
        <v>0</v>
      </c>
      <c r="AC50" s="508">
        <f>SUMPRODUCT($E$8:$E46,AC8:AC46)</f>
        <v>0</v>
      </c>
      <c r="AD50" s="508">
        <f>SUMPRODUCT($E$8:$E46,AD8:AD46)</f>
        <v>0</v>
      </c>
      <c r="AE50" s="508">
        <f>SUMPRODUCT($E$8:$E46,AE8:AE46)</f>
        <v>0</v>
      </c>
      <c r="AF50" s="508">
        <f>SUMPRODUCT($E$8:$E46,AF8:AF46)</f>
        <v>0</v>
      </c>
      <c r="AG50" s="508">
        <f>SUMPRODUCT($E$8:$E46,AG8:AG46)</f>
        <v>0</v>
      </c>
      <c r="AH50" s="508">
        <f>SUMPRODUCT($E$8:$E46,AH8:AH46)</f>
        <v>0</v>
      </c>
      <c r="AI50" s="508">
        <f>SUMPRODUCT($E$8:$E46,AI8:AI46)</f>
        <v>0</v>
      </c>
      <c r="AJ50" s="508">
        <f>SUMPRODUCT($E$8:$E46,AJ8:AJ46)</f>
        <v>0</v>
      </c>
      <c r="AK50" s="508">
        <f>SUMPRODUCT($E$8:$E46,AK8:AK46)</f>
        <v>0</v>
      </c>
      <c r="AL50" s="508">
        <f>SUMPRODUCT($E$8:$E46,AL8:AL46)</f>
        <v>0</v>
      </c>
      <c r="AM50" s="508">
        <f>SUMPRODUCT($E$8:$E46,AM8:AM46)</f>
        <v>0</v>
      </c>
      <c r="AN50" s="508">
        <f>SUMPRODUCT($E$8:$E46,AN8:AN46)</f>
        <v>0</v>
      </c>
      <c r="AO50" s="508">
        <f>SUMPRODUCT($E$8:$E46,AO8:AO46)</f>
        <v>0</v>
      </c>
      <c r="AP50" s="508">
        <f>SUMPRODUCT($E$8:$E46,AP8:AP46)</f>
        <v>0</v>
      </c>
      <c r="AQ50" s="429"/>
      <c r="AR50" s="440">
        <f>SUM(H50:AP50)*'Study Information &amp; rates'!D101</f>
        <v>0</v>
      </c>
      <c r="AS50" s="440">
        <f>IF('Study Information &amp; rates'!$B$44='Study Information &amp; rates'!$V$12,AR50*0.287,0)</f>
        <v>0</v>
      </c>
      <c r="AT50" s="440">
        <f>IF('Study Information &amp; rates'!$B$44="No",0,AR50*0.05)</f>
        <v>0</v>
      </c>
      <c r="AU50" s="440">
        <f>AR50+AS50+AT50</f>
        <v>0</v>
      </c>
      <c r="AV50" s="440">
        <f>'Set-up and other costs'!$B$18*AU50</f>
        <v>0</v>
      </c>
      <c r="BB50" s="4">
        <f>SUMIF($BH:$BH,1,$E:$E)+SUMIF($BJ:$BJ,1,$E:$E)</f>
        <v>0</v>
      </c>
      <c r="BC50" s="275">
        <f>BB50*'Study Information &amp; rates'!$D$101</f>
        <v>0</v>
      </c>
      <c r="BD50" s="2">
        <f>IF('Study Information &amp; rates'!$B$44='Study Information &amp; rates'!$V$12,BC50*0.287,0)</f>
        <v>0</v>
      </c>
      <c r="BE50" s="2">
        <f>IF(($AR$52*'Study Information &amp; rates'!$B$27)&gt;5000,BC50*0.05,0)</f>
        <v>0</v>
      </c>
      <c r="BF50" s="2">
        <f>BC50+BD50+BE50</f>
        <v>0</v>
      </c>
    </row>
    <row r="51" spans="1:58" ht="26">
      <c r="A51" s="15"/>
      <c r="B51" s="15"/>
      <c r="C51" s="18"/>
      <c r="D51" s="18"/>
      <c r="E51" s="18"/>
      <c r="F51" s="18"/>
      <c r="G51" s="439" t="s">
        <v>46</v>
      </c>
      <c r="H51" s="508">
        <f>SUMPRODUCT($F$8:$F46,H8:H46)</f>
        <v>0</v>
      </c>
      <c r="I51" s="508">
        <f>SUMPRODUCT($F$8:$F46,I8:I46)</f>
        <v>0</v>
      </c>
      <c r="J51" s="508">
        <f>SUMPRODUCT($F$8:$F46,J8:J46)</f>
        <v>0</v>
      </c>
      <c r="K51" s="508">
        <f>SUMPRODUCT($F$8:$F46,K8:K46)</f>
        <v>0</v>
      </c>
      <c r="L51" s="508">
        <f>SUMPRODUCT($F$8:$F46,L8:L46)</f>
        <v>0</v>
      </c>
      <c r="M51" s="508">
        <f>SUMPRODUCT($F$8:$F46,M8:M46)</f>
        <v>0</v>
      </c>
      <c r="N51" s="508">
        <f>SUMPRODUCT($F$8:$F46,N8:N46)</f>
        <v>0</v>
      </c>
      <c r="O51" s="508">
        <f>SUMPRODUCT($F$8:$F46,O8:O46)</f>
        <v>0</v>
      </c>
      <c r="P51" s="508">
        <f>SUMPRODUCT($F$8:$F46,P8:P46)</f>
        <v>0</v>
      </c>
      <c r="Q51" s="508">
        <f>SUMPRODUCT($F$8:$F46,Q8:Q46)</f>
        <v>0</v>
      </c>
      <c r="R51" s="508">
        <f>SUMPRODUCT($F$8:$F46,R8:R46)</f>
        <v>0</v>
      </c>
      <c r="S51" s="508">
        <f>SUMPRODUCT($F$8:$F46,S8:S46)</f>
        <v>0</v>
      </c>
      <c r="T51" s="508">
        <f>SUMPRODUCT($F$8:$F46,T8:T46)</f>
        <v>0</v>
      </c>
      <c r="U51" s="508">
        <f>SUMPRODUCT($F$8:$F46,U8:U46)</f>
        <v>0</v>
      </c>
      <c r="V51" s="508">
        <f>SUMPRODUCT($F$8:$F46,V8:V46)</f>
        <v>0</v>
      </c>
      <c r="W51" s="508">
        <f>SUMPRODUCT($F$8:$F46,W8:W46)</f>
        <v>0</v>
      </c>
      <c r="X51" s="508">
        <f>SUMPRODUCT($F$8:$F46,X8:X46)</f>
        <v>0</v>
      </c>
      <c r="Y51" s="508">
        <f>SUMPRODUCT($F$8:$F46,Y8:Y46)</f>
        <v>0</v>
      </c>
      <c r="Z51" s="508">
        <f>SUMPRODUCT($F$8:$F46,Z8:Z46)</f>
        <v>0</v>
      </c>
      <c r="AA51" s="508">
        <f>SUMPRODUCT($F$8:$F46,AA8:AA46)</f>
        <v>0</v>
      </c>
      <c r="AB51" s="508">
        <f>SUMPRODUCT($F$8:$F46,AB8:AB46)</f>
        <v>0</v>
      </c>
      <c r="AC51" s="508">
        <f>SUMPRODUCT($F$8:$F46,AC8:AC46)</f>
        <v>0</v>
      </c>
      <c r="AD51" s="508">
        <f>SUMPRODUCT($F$8:$F46,AD8:AD46)</f>
        <v>0</v>
      </c>
      <c r="AE51" s="508">
        <f>SUMPRODUCT($F$8:$F46,AE8:AE46)</f>
        <v>0</v>
      </c>
      <c r="AF51" s="508">
        <f>SUMPRODUCT($F$8:$F46,AF8:AF46)</f>
        <v>0</v>
      </c>
      <c r="AG51" s="508">
        <f>SUMPRODUCT($F$8:$F46,AG8:AG46)</f>
        <v>0</v>
      </c>
      <c r="AH51" s="508">
        <f>SUMPRODUCT($F$8:$F46,AH8:AH46)</f>
        <v>0</v>
      </c>
      <c r="AI51" s="508">
        <f>SUMPRODUCT($F$8:$F46,AI8:AI46)</f>
        <v>0</v>
      </c>
      <c r="AJ51" s="508">
        <f>SUMPRODUCT($F$8:$F46,AJ8:AJ46)</f>
        <v>0</v>
      </c>
      <c r="AK51" s="508">
        <f>SUMPRODUCT($F$8:$F46,AK8:AK46)</f>
        <v>0</v>
      </c>
      <c r="AL51" s="508">
        <f>SUMPRODUCT($F$8:$F46,AL8:AL46)</f>
        <v>0</v>
      </c>
      <c r="AM51" s="508">
        <f>SUMPRODUCT($F$8:$F46,AM8:AM46)</f>
        <v>0</v>
      </c>
      <c r="AN51" s="508">
        <f>SUMPRODUCT($F$8:$F46,AN8:AN46)</f>
        <v>0</v>
      </c>
      <c r="AO51" s="508">
        <f>SUMPRODUCT($F$8:$F46,AO8:AO46)</f>
        <v>0</v>
      </c>
      <c r="AP51" s="508">
        <f>SUMPRODUCT($F$8:$F46,AP8:AP46)</f>
        <v>0</v>
      </c>
      <c r="AQ51" s="429"/>
      <c r="AR51" s="440">
        <f>SUM(H51:AP51)*'Study Information &amp; rates'!F101</f>
        <v>0</v>
      </c>
      <c r="AS51" s="440">
        <f>IF('Study Information &amp; rates'!$B$44='Study Information &amp; rates'!$V$12,AR51*0.287,0)</f>
        <v>0</v>
      </c>
      <c r="AT51" s="440">
        <f>IF('Study Information &amp; rates'!$B$44="No",0,AR51*0.05)</f>
        <v>0</v>
      </c>
      <c r="AU51" s="440">
        <f>AR51+AS51+AT51</f>
        <v>0</v>
      </c>
      <c r="AV51" s="440">
        <f>'Set-up and other costs'!$B$18*AU51</f>
        <v>0</v>
      </c>
      <c r="AW51" s="13" t="b">
        <f>AR52=AR47</f>
        <v>1</v>
      </c>
      <c r="AX51" s="13" t="b">
        <f>AS52=AS47</f>
        <v>1</v>
      </c>
      <c r="AY51" s="13" t="b">
        <f>AT52=AT47</f>
        <v>1</v>
      </c>
      <c r="AZ51" s="13" t="b">
        <f>AV52=AV47</f>
        <v>1</v>
      </c>
      <c r="BB51" s="4">
        <f>SUMIF($BH:$BH,1,$F:$F)+SUMIF($BJ:$BJ,1,$F:$F)</f>
        <v>0</v>
      </c>
      <c r="BC51" s="275">
        <f>BB51*'Study Information &amp; rates'!$F$101</f>
        <v>0</v>
      </c>
      <c r="BD51" s="2">
        <f>IF('Study Information &amp; rates'!$B$44='Study Information &amp; rates'!$V$12,BC51*0.287,0)</f>
        <v>0</v>
      </c>
      <c r="BE51" s="2">
        <f>IF(($AR$52*'Study Information &amp; rates'!$B$27)&gt;5000,BC51*0.05,0)</f>
        <v>0</v>
      </c>
      <c r="BF51" s="2">
        <f>BC51+BD51+BE51</f>
        <v>0</v>
      </c>
    </row>
    <row r="52" spans="1:48">
      <c r="A52" s="13"/>
      <c r="B52" s="13"/>
      <c r="C52" s="13"/>
      <c r="D52" s="13"/>
      <c r="E52" s="13"/>
      <c r="F52" s="13"/>
      <c r="G52" s="13"/>
      <c r="AQ52" s="454"/>
      <c r="AR52" s="511">
        <f>SUM(AR48:AR51)</f>
        <v>0</v>
      </c>
      <c r="AS52" s="511">
        <f>SUM(AS48:AS51)</f>
        <v>0</v>
      </c>
      <c r="AT52" s="511">
        <f>SUM(AT48:AT51)</f>
        <v>0</v>
      </c>
      <c r="AU52" s="457">
        <f>SUM(AU48:AU51)</f>
        <v>0</v>
      </c>
      <c r="AV52" s="440">
        <f>'Set-up and other costs'!$B$18*AU52</f>
        <v>0</v>
      </c>
    </row>
    <row r="53" spans="1:48" ht="15.5">
      <c r="A53" s="19" t="s">
        <v>22</v>
      </c>
      <c r="B53" s="19"/>
      <c r="C53" s="13"/>
      <c r="D53" s="13"/>
      <c r="E53" s="13"/>
      <c r="F53" s="13"/>
      <c r="G53" s="13"/>
      <c r="AQ53" s="454"/>
      <c r="AR53" s="510"/>
      <c r="AS53" s="510"/>
      <c r="AT53" s="510"/>
      <c r="AU53" s="511">
        <f>AU52-AU47</f>
        <v>0</v>
      </c>
      <c r="AV53" s="510"/>
    </row>
    <row r="54" spans="1:48">
      <c r="A54" s="16"/>
      <c r="B54" s="16"/>
      <c r="AQ54" s="454"/>
      <c r="AR54" s="510"/>
      <c r="AS54" s="510"/>
      <c r="AT54" s="510"/>
      <c r="AU54" s="510"/>
      <c r="AV54" s="510"/>
    </row>
    <row r="55" spans="1:48" ht="43.5" customHeight="1">
      <c r="A55" s="446" t="s">
        <v>20</v>
      </c>
      <c r="B55" s="430" t="s">
        <v>2059</v>
      </c>
      <c r="C55" s="563" t="s">
        <v>2024</v>
      </c>
      <c r="D55" s="466"/>
      <c r="E55" s="466"/>
      <c r="F55" s="445"/>
      <c r="G55" s="446" t="s">
        <v>21</v>
      </c>
      <c r="H55" s="430" t="s">
        <v>19</v>
      </c>
      <c r="I55" s="430" t="str">
        <f>I7</f>
        <v>Visit 2</v>
      </c>
      <c r="J55" s="430" t="str">
        <f>J7</f>
        <v>Visit 3</v>
      </c>
      <c r="K55" s="430" t="str">
        <f>K7</f>
        <v>Visit 4</v>
      </c>
      <c r="L55" s="430" t="str">
        <f>L7</f>
        <v>Visit 5</v>
      </c>
      <c r="M55" s="430" t="str">
        <f>M7</f>
        <v>Visit 6</v>
      </c>
      <c r="N55" s="430" t="str">
        <f>N7</f>
        <v>Visit 7</v>
      </c>
      <c r="O55" s="430" t="str">
        <f>O7</f>
        <v>Visit 8</v>
      </c>
      <c r="P55" s="430" t="str">
        <f>P7</f>
        <v>Visit 9</v>
      </c>
      <c r="Q55" s="430" t="str">
        <f>Q7</f>
        <v>Visit 10</v>
      </c>
      <c r="R55" s="430" t="str">
        <f>R7</f>
        <v>Visit 11</v>
      </c>
      <c r="S55" s="430" t="str">
        <f>S7</f>
        <v>Visit 12</v>
      </c>
      <c r="T55" s="430" t="str">
        <f>T7</f>
        <v>Visit 13</v>
      </c>
      <c r="U55" s="430" t="str">
        <f>U7</f>
        <v>Visit 14</v>
      </c>
      <c r="V55" s="430" t="str">
        <f>V7</f>
        <v>Visit 15</v>
      </c>
      <c r="W55" s="430" t="str">
        <f>W7</f>
        <v>Visit 16</v>
      </c>
      <c r="X55" s="430" t="str">
        <f>X7</f>
        <v>Visit 17</v>
      </c>
      <c r="Y55" s="430" t="str">
        <f>Y7</f>
        <v>Visit 18</v>
      </c>
      <c r="Z55" s="430" t="str">
        <f>Z7</f>
        <v>Visit 19</v>
      </c>
      <c r="AA55" s="430" t="str">
        <f>AA7</f>
        <v>Visit 20</v>
      </c>
      <c r="AB55" s="430" t="str">
        <f>AB7</f>
        <v>Visit 21</v>
      </c>
      <c r="AC55" s="430" t="str">
        <f>AC7</f>
        <v>Visit 22</v>
      </c>
      <c r="AD55" s="430" t="str">
        <f>AD7</f>
        <v>Visit 23</v>
      </c>
      <c r="AE55" s="430" t="str">
        <f>AE7</f>
        <v>Visit 24</v>
      </c>
      <c r="AF55" s="430" t="str">
        <f>AF7</f>
        <v>Visit 25</v>
      </c>
      <c r="AG55" s="430" t="str">
        <f>AG7</f>
        <v>Visit 26</v>
      </c>
      <c r="AH55" s="430" t="str">
        <f>AH7</f>
        <v>Visit 27</v>
      </c>
      <c r="AI55" s="430" t="str">
        <f>AI7</f>
        <v>Visit 28</v>
      </c>
      <c r="AJ55" s="430" t="str">
        <f>AJ7</f>
        <v>Visit 29</v>
      </c>
      <c r="AK55" s="430" t="str">
        <f>AK7</f>
        <v>Visit 30</v>
      </c>
      <c r="AL55" s="430" t="str">
        <f>AL7</f>
        <v>Visit 31</v>
      </c>
      <c r="AM55" s="430" t="str">
        <f>AM7</f>
        <v>Visit 32</v>
      </c>
      <c r="AN55" s="430" t="str">
        <f>AN7</f>
        <v>Visit 33</v>
      </c>
      <c r="AO55" s="430" t="str">
        <f>AO7</f>
        <v>Visit 34</v>
      </c>
      <c r="AP55" s="430" t="str">
        <f>AP7</f>
        <v>Visit 35</v>
      </c>
      <c r="AQ55" s="434"/>
      <c r="AR55" s="439" t="s">
        <v>3</v>
      </c>
      <c r="AS55" s="439" t="s">
        <v>5</v>
      </c>
      <c r="AT55" s="439" t="s">
        <v>1852</v>
      </c>
      <c r="AU55" s="439" t="s">
        <v>2251</v>
      </c>
      <c r="AV55" s="439" t="s">
        <v>2252</v>
      </c>
    </row>
    <row r="56" spans="1:67" ht="15.75" customHeight="1">
      <c r="A56" s="8"/>
      <c r="B56" s="8"/>
      <c r="C56" s="444"/>
      <c r="D56" s="459"/>
      <c r="E56" s="459"/>
      <c r="F56" s="443"/>
      <c r="G56" s="463">
        <v>0</v>
      </c>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433"/>
      <c r="AR56" s="440">
        <f>(SUM(H56:AP56))*G56</f>
        <v>0</v>
      </c>
      <c r="AS56" s="440">
        <f>IF('Study Information &amp; rates'!$B$44="Yes",AR56*0.287,0)</f>
        <v>0</v>
      </c>
      <c r="AT56" s="440">
        <f>IF('Study Information &amp; rates'!$B$44="No",0,AR56*0.05)</f>
        <v>0</v>
      </c>
      <c r="AU56" s="440">
        <f>AR56+AS56+AT56</f>
        <v>0</v>
      </c>
      <c r="AV56" s="440">
        <f>'Set-up and other costs'!$B$18*AU56</f>
        <v>0</v>
      </c>
      <c r="BG56" s="6" t="b">
        <f>IF($B56='Look Up'!$A$5,$H56)</f>
        <v>0</v>
      </c>
      <c r="BH56" s="6" t="b">
        <f>IF($B56='Look Up'!$A$6,$H56)</f>
        <v>0</v>
      </c>
      <c r="BI56" s="6" t="b">
        <f>IF($B56='Look Up'!$A$7,$H56)</f>
        <v>0</v>
      </c>
      <c r="BJ56" s="6" t="b">
        <f>IF($B56='Look Up'!$A$7,$H56)</f>
        <v>0</v>
      </c>
      <c r="BO56" s="6" t="str">
        <f>C56&amp;B56</f>
        <v/>
      </c>
    </row>
    <row r="57" spans="1:67">
      <c r="A57" s="8"/>
      <c r="B57" s="8"/>
      <c r="C57" s="444"/>
      <c r="D57" s="442"/>
      <c r="E57" s="442"/>
      <c r="F57" s="462"/>
      <c r="G57" s="463">
        <v>0</v>
      </c>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427"/>
      <c r="AR57" s="440">
        <f>(SUM(H57:AP57))*G57</f>
        <v>0</v>
      </c>
      <c r="AS57" s="440">
        <f>IF('Study Information &amp; rates'!$B$44="Yes",AR57*0.287,0)</f>
        <v>0</v>
      </c>
      <c r="AT57" s="440">
        <f>IF('Study Information &amp; rates'!$B$44="No",0,AR57*0.05)</f>
        <v>0</v>
      </c>
      <c r="AU57" s="440">
        <f>AR57+AS57+AT57</f>
        <v>0</v>
      </c>
      <c r="AV57" s="440">
        <f>'Set-up and other costs'!$B$18*AU57</f>
        <v>0</v>
      </c>
      <c r="BG57" s="6" t="b">
        <f>IF($B57='Look Up'!$A$5,$H57)</f>
        <v>0</v>
      </c>
      <c r="BH57" s="6" t="b">
        <f>IF($B57='Look Up'!$A$6,$H57)</f>
        <v>0</v>
      </c>
      <c r="BI57" s="6" t="b">
        <f>IF($B57='Look Up'!$A$7,$H57)</f>
        <v>0</v>
      </c>
      <c r="BJ57" s="6" t="b">
        <f>IF($B57='Look Up'!$A$7,$H57)</f>
        <v>0</v>
      </c>
      <c r="BO57" s="6" t="str">
        <f>C57&amp;B57</f>
        <v/>
      </c>
    </row>
    <row r="58" spans="1:67">
      <c r="A58" s="8"/>
      <c r="B58" s="8"/>
      <c r="C58" s="444"/>
      <c r="D58" s="442"/>
      <c r="E58" s="442"/>
      <c r="F58" s="462"/>
      <c r="G58" s="463">
        <f>IF(ISERROR(VLOOKUP(A58,'Data Sheet Costs'!$A:$C,3,FALSE)),0,VLOOKUP(A58,'Data Sheet Costs'!$A:$C,3,FALSE))</f>
        <v>0</v>
      </c>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427"/>
      <c r="AR58" s="440">
        <f>(SUM(H58:AP58))*G58</f>
        <v>0</v>
      </c>
      <c r="AS58" s="440">
        <f>IF('Study Information &amp; rates'!$B$44="Yes",AR58*0.287,0)</f>
        <v>0</v>
      </c>
      <c r="AT58" s="440">
        <f>IF('Study Information &amp; rates'!$B$44="No",0,AR58*0.05)</f>
        <v>0</v>
      </c>
      <c r="AU58" s="440">
        <f>AR58+AS58+AT58</f>
        <v>0</v>
      </c>
      <c r="AV58" s="440">
        <f>'Set-up and other costs'!$B$18*AU58</f>
        <v>0</v>
      </c>
      <c r="BG58" s="6" t="b">
        <f>IF($B58='Look Up'!$A$5,$H58)</f>
        <v>0</v>
      </c>
      <c r="BH58" s="6" t="b">
        <f>IF($B58='Look Up'!$A$6,$H58)</f>
        <v>0</v>
      </c>
      <c r="BI58" s="6" t="b">
        <f>IF($B58='Look Up'!$A$7,$H58)</f>
        <v>0</v>
      </c>
      <c r="BJ58" s="6" t="b">
        <f>IF($B58='Look Up'!$A$7,$H58)</f>
        <v>0</v>
      </c>
      <c r="BO58" s="6" t="str">
        <f>C58&amp;B58</f>
        <v/>
      </c>
    </row>
    <row r="59" spans="1:67">
      <c r="A59" s="8"/>
      <c r="B59" s="8"/>
      <c r="C59" s="444"/>
      <c r="D59" s="442"/>
      <c r="E59" s="442"/>
      <c r="F59" s="462"/>
      <c r="G59" s="463">
        <f>IF(ISERROR(VLOOKUP(A59,'Data Sheet Costs'!$A:$C,3,FALSE)),0,VLOOKUP(A59,'Data Sheet Costs'!$A:$C,3,FALSE))</f>
        <v>0</v>
      </c>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427"/>
      <c r="AR59" s="440">
        <f>(SUM(H59:AP59))*G59</f>
        <v>0</v>
      </c>
      <c r="AS59" s="440">
        <f>IF('Study Information &amp; rates'!$B$44="Yes",AR59*0.287,0)</f>
        <v>0</v>
      </c>
      <c r="AT59" s="440">
        <f>IF('Study Information &amp; rates'!$B$44="No",0,AR59*0.05)</f>
        <v>0</v>
      </c>
      <c r="AU59" s="440">
        <f>AR59+AS59+AT59</f>
        <v>0</v>
      </c>
      <c r="AV59" s="440">
        <f>'Set-up and other costs'!$B$18*AU59</f>
        <v>0</v>
      </c>
      <c r="BG59" s="6" t="b">
        <f>IF($B59='Look Up'!$A$5,$H59)</f>
        <v>0</v>
      </c>
      <c r="BH59" s="6" t="b">
        <f>IF($B59='Look Up'!$A$6,$H59)</f>
        <v>0</v>
      </c>
      <c r="BI59" s="6" t="b">
        <f>IF($B59='Look Up'!$A$7,$H59)</f>
        <v>0</v>
      </c>
      <c r="BJ59" s="6" t="b">
        <f>IF($B59='Look Up'!$A$7,$H59)</f>
        <v>0</v>
      </c>
      <c r="BO59" s="6" t="str">
        <f>C59&amp;B59</f>
        <v/>
      </c>
    </row>
    <row r="60" spans="1:67" ht="15.75" customHeight="1">
      <c r="A60" s="8"/>
      <c r="B60" s="8"/>
      <c r="C60" s="444"/>
      <c r="D60" s="442"/>
      <c r="E60" s="442"/>
      <c r="F60" s="462"/>
      <c r="G60" s="463">
        <f>IF(ISERROR(VLOOKUP(A60,'Data Sheet Costs'!$A:$C,3,FALSE)),0,VLOOKUP(A60,'Data Sheet Costs'!$A:$C,3,FALSE))</f>
        <v>0</v>
      </c>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427"/>
      <c r="AR60" s="440">
        <f>(SUM(H60:AP60))*G60</f>
        <v>0</v>
      </c>
      <c r="AS60" s="440">
        <f>IF('Study Information &amp; rates'!$B$44="Yes",AR60*0.287,0)</f>
        <v>0</v>
      </c>
      <c r="AT60" s="440">
        <f>IF('Study Information &amp; rates'!$B$44="No",0,AR60*0.05)</f>
        <v>0</v>
      </c>
      <c r="AU60" s="440">
        <f>AR60+AS60+AT60</f>
        <v>0</v>
      </c>
      <c r="AV60" s="440">
        <f>'Set-up and other costs'!$B$18*AU60</f>
        <v>0</v>
      </c>
      <c r="BG60" s="6" t="b">
        <f>IF($B60='Look Up'!$A$5,$H60)</f>
        <v>0</v>
      </c>
      <c r="BH60" s="6" t="b">
        <f>IF($B60='Look Up'!$A$6,$H60)</f>
        <v>0</v>
      </c>
      <c r="BI60" s="6" t="b">
        <f>IF($B60='Look Up'!$A$7,$H60)</f>
        <v>0</v>
      </c>
      <c r="BJ60" s="6" t="b">
        <f>IF($B60='Look Up'!$A$7,$H60)</f>
        <v>0</v>
      </c>
      <c r="BO60" s="6" t="str">
        <f>C60&amp;B60</f>
        <v/>
      </c>
    </row>
    <row r="61" spans="1:67">
      <c r="A61" s="8"/>
      <c r="B61" s="8"/>
      <c r="C61" s="444"/>
      <c r="D61" s="442"/>
      <c r="E61" s="442"/>
      <c r="F61" s="462"/>
      <c r="G61" s="463">
        <f>IF(ISERROR(VLOOKUP(A61,'Data Sheet Costs'!$A:$C,3,FALSE)),0,VLOOKUP(A61,'Data Sheet Costs'!$A:$C,3,FALSE))</f>
        <v>0</v>
      </c>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427"/>
      <c r="AR61" s="440">
        <f>(SUM(H61:AP61))*G61</f>
        <v>0</v>
      </c>
      <c r="AS61" s="440">
        <f>IF('Study Information &amp; rates'!$B$44="Yes",AR61*0.287,0)</f>
        <v>0</v>
      </c>
      <c r="AT61" s="440">
        <f>IF('Study Information &amp; rates'!$B$44="No",0,AR61*0.05)</f>
        <v>0</v>
      </c>
      <c r="AU61" s="440">
        <f>AR61+AS61+AT61</f>
        <v>0</v>
      </c>
      <c r="AV61" s="440">
        <f>'Set-up and other costs'!$B$18*AU61</f>
        <v>0</v>
      </c>
      <c r="BG61" s="6" t="b">
        <f>IF($B61='Look Up'!$A$5,$H61)</f>
        <v>0</v>
      </c>
      <c r="BH61" s="6" t="b">
        <f>IF($B61='Look Up'!$A$6,$H61)</f>
        <v>0</v>
      </c>
      <c r="BI61" s="6" t="b">
        <f>IF($B61='Look Up'!$A$7,$H61)</f>
        <v>0</v>
      </c>
      <c r="BJ61" s="6" t="b">
        <f>IF($B61='Look Up'!$A$7,$H61)</f>
        <v>0</v>
      </c>
      <c r="BO61" s="6" t="str">
        <f>C61&amp;B61</f>
        <v/>
      </c>
    </row>
    <row r="62" spans="1:67" ht="15.75" customHeight="1">
      <c r="A62" s="8"/>
      <c r="B62" s="8"/>
      <c r="C62" s="444"/>
      <c r="D62" s="442"/>
      <c r="E62" s="442"/>
      <c r="F62" s="462"/>
      <c r="G62" s="463">
        <f>IF(ISERROR(VLOOKUP(A62,'Data Sheet Costs'!$A:$C,3,FALSE)),0,VLOOKUP(A62,'Data Sheet Costs'!$A:$C,3,FALSE))</f>
        <v>0</v>
      </c>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427"/>
      <c r="AR62" s="440">
        <f>(SUM(H62:AP62))*G62</f>
        <v>0</v>
      </c>
      <c r="AS62" s="440">
        <f>IF('Study Information &amp; rates'!$B$44="Yes",AR62*0.287,0)</f>
        <v>0</v>
      </c>
      <c r="AT62" s="440">
        <f>IF('Study Information &amp; rates'!$B$44="No",0,AR62*0.05)</f>
        <v>0</v>
      </c>
      <c r="AU62" s="440">
        <f>AR62+AS62+AT62</f>
        <v>0</v>
      </c>
      <c r="AV62" s="440">
        <f>'Set-up and other costs'!$B$18*AU62</f>
        <v>0</v>
      </c>
      <c r="BG62" s="6" t="b">
        <f>IF($B62='Look Up'!$A$5,$H62)</f>
        <v>0</v>
      </c>
      <c r="BH62" s="6" t="b">
        <f>IF($B62='Look Up'!$A$6,$H62)</f>
        <v>0</v>
      </c>
      <c r="BI62" s="6" t="b">
        <f>IF($B62='Look Up'!$A$7,$H62)</f>
        <v>0</v>
      </c>
      <c r="BJ62" s="6" t="b">
        <f>IF($B62='Look Up'!$A$7,$H62)</f>
        <v>0</v>
      </c>
      <c r="BO62" s="6" t="str">
        <f>C62&amp;B62</f>
        <v/>
      </c>
    </row>
    <row r="63" spans="1:67">
      <c r="A63" s="8"/>
      <c r="B63" s="8"/>
      <c r="C63" s="444"/>
      <c r="D63" s="442"/>
      <c r="E63" s="442"/>
      <c r="F63" s="462"/>
      <c r="G63" s="463">
        <f>IF(ISERROR(VLOOKUP(A63,'Data Sheet Costs'!$A:$C,3,FALSE)),0,VLOOKUP(A63,'Data Sheet Costs'!$A:$C,3,FALSE))</f>
        <v>0</v>
      </c>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427"/>
      <c r="AR63" s="440">
        <f>(SUM(H63:AP63))*G63</f>
        <v>0</v>
      </c>
      <c r="AS63" s="440">
        <f>IF('Study Information &amp; rates'!$B$44="Yes",AR63*0.287,0)</f>
        <v>0</v>
      </c>
      <c r="AT63" s="440">
        <f>IF('Study Information &amp; rates'!$B$44="No",0,AR63*0.05)</f>
        <v>0</v>
      </c>
      <c r="AU63" s="440">
        <f>AR63+AS63+AT63</f>
        <v>0</v>
      </c>
      <c r="AV63" s="440">
        <f>'Set-up and other costs'!$B$18*AU63</f>
        <v>0</v>
      </c>
      <c r="BG63" s="6" t="b">
        <f>IF($B63='Look Up'!$A$5,$H63)</f>
        <v>0</v>
      </c>
      <c r="BH63" s="6" t="b">
        <f>IF($B63='Look Up'!$A$6,$H63)</f>
        <v>0</v>
      </c>
      <c r="BI63" s="6" t="b">
        <f>IF($B63='Look Up'!$A$7,$H63)</f>
        <v>0</v>
      </c>
      <c r="BJ63" s="6" t="b">
        <f>IF($B63='Look Up'!$A$7,$H63)</f>
        <v>0</v>
      </c>
      <c r="BO63" s="6" t="str">
        <f>C63&amp;B63</f>
        <v/>
      </c>
    </row>
    <row r="64" spans="1:67">
      <c r="A64" s="8"/>
      <c r="B64" s="8"/>
      <c r="C64" s="444"/>
      <c r="D64" s="442"/>
      <c r="E64" s="442"/>
      <c r="F64" s="462"/>
      <c r="G64" s="463">
        <f>IF(ISERROR(VLOOKUP(A64,'Data Sheet Costs'!$A:$C,3,FALSE)),0,VLOOKUP(A64,'Data Sheet Costs'!$A:$C,3,FALSE))</f>
        <v>0</v>
      </c>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427"/>
      <c r="AR64" s="440">
        <f>(SUM(H64:AP64))*G64</f>
        <v>0</v>
      </c>
      <c r="AS64" s="440">
        <f>IF('Study Information &amp; rates'!$B$44="Yes",AR64*0.287,0)</f>
        <v>0</v>
      </c>
      <c r="AT64" s="440">
        <f>IF('Study Information &amp; rates'!$B$44="No",0,AR64*0.05)</f>
        <v>0</v>
      </c>
      <c r="AU64" s="440">
        <f>AR64+AS64+AT64</f>
        <v>0</v>
      </c>
      <c r="AV64" s="440">
        <f>'Set-up and other costs'!$B$18*AU64</f>
        <v>0</v>
      </c>
      <c r="BG64" s="6" t="b">
        <f>IF($B64='Look Up'!$A$5,$H64)</f>
        <v>0</v>
      </c>
      <c r="BH64" s="6" t="b">
        <f>IF($B64='Look Up'!$A$6,$H64)</f>
        <v>0</v>
      </c>
      <c r="BI64" s="6" t="b">
        <f>IF($B64='Look Up'!$A$7,$H64)</f>
        <v>0</v>
      </c>
      <c r="BJ64" s="6" t="b">
        <f>IF($B64='Look Up'!$A$7,$H64)</f>
        <v>0</v>
      </c>
      <c r="BO64" s="6" t="str">
        <f>C64&amp;B64</f>
        <v/>
      </c>
    </row>
    <row r="65" spans="1:67" ht="15.75" customHeight="1">
      <c r="A65" s="8"/>
      <c r="B65" s="8"/>
      <c r="C65" s="444"/>
      <c r="D65" s="442"/>
      <c r="E65" s="442"/>
      <c r="F65" s="462"/>
      <c r="G65" s="463">
        <f>IF(ISERROR(VLOOKUP(A65,'Data Sheet Costs'!$A:$C,3,FALSE)),0,VLOOKUP(A65,'Data Sheet Costs'!$A:$C,3,FALSE))</f>
        <v>0</v>
      </c>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427"/>
      <c r="AR65" s="440">
        <f>(SUM(H65:AP65))*G65</f>
        <v>0</v>
      </c>
      <c r="AS65" s="440">
        <f>IF('Study Information &amp; rates'!$B$44="Yes",AR65*0.287,0)</f>
        <v>0</v>
      </c>
      <c r="AT65" s="440">
        <f>IF('Study Information &amp; rates'!$B$44="No",0,AR65*0.05)</f>
        <v>0</v>
      </c>
      <c r="AU65" s="440">
        <f>AR65+AS65+AT65</f>
        <v>0</v>
      </c>
      <c r="AV65" s="440">
        <f>'Set-up and other costs'!$B$18*AU65</f>
        <v>0</v>
      </c>
      <c r="BG65" s="6" t="b">
        <f>IF($B65='Look Up'!$A$5,$H65)</f>
        <v>0</v>
      </c>
      <c r="BH65" s="6" t="b">
        <f>IF($B65='Look Up'!$A$6,$H65)</f>
        <v>0</v>
      </c>
      <c r="BI65" s="6" t="b">
        <f>IF($B65='Look Up'!$A$7,$H65)</f>
        <v>0</v>
      </c>
      <c r="BJ65" s="6" t="b">
        <f>IF($B65='Look Up'!$A$7,$H65)</f>
        <v>0</v>
      </c>
      <c r="BO65" s="6" t="str">
        <f>C65&amp;B65</f>
        <v/>
      </c>
    </row>
    <row r="66" spans="1:67">
      <c r="A66" s="8"/>
      <c r="B66" s="8"/>
      <c r="C66" s="444"/>
      <c r="D66" s="442"/>
      <c r="E66" s="442"/>
      <c r="F66" s="462"/>
      <c r="G66" s="463">
        <f>IF(ISERROR(VLOOKUP(A66,'Data Sheet Costs'!$A:$C,3,FALSE)),0,VLOOKUP(A66,'Data Sheet Costs'!$A:$C,3,FALSE))</f>
        <v>0</v>
      </c>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427"/>
      <c r="AR66" s="440">
        <f>(SUM(H66:AP66))*G66</f>
        <v>0</v>
      </c>
      <c r="AS66" s="440">
        <f>IF('Study Information &amp; rates'!$B$44="Yes",AR66*0.287,0)</f>
        <v>0</v>
      </c>
      <c r="AT66" s="440">
        <f>IF('Study Information &amp; rates'!$B$44="No",0,AR66*0.05)</f>
        <v>0</v>
      </c>
      <c r="AU66" s="440">
        <f>AR66+AS66+AT66</f>
        <v>0</v>
      </c>
      <c r="AV66" s="440">
        <f>'Set-up and other costs'!$B$18*AU66</f>
        <v>0</v>
      </c>
      <c r="BG66" s="6" t="b">
        <f>IF($B66='Look Up'!$A$5,$H66)</f>
        <v>0</v>
      </c>
      <c r="BH66" s="6" t="b">
        <f>IF($B66='Look Up'!$A$6,$H66)</f>
        <v>0</v>
      </c>
      <c r="BI66" s="6" t="b">
        <f>IF($B66='Look Up'!$A$7,$H66)</f>
        <v>0</v>
      </c>
      <c r="BJ66" s="6" t="b">
        <f>IF($B66='Look Up'!$A$7,$H66)</f>
        <v>0</v>
      </c>
      <c r="BO66" s="6" t="str">
        <f>C66&amp;B66</f>
        <v/>
      </c>
    </row>
    <row r="67" spans="1:67">
      <c r="A67" s="8"/>
      <c r="B67" s="8"/>
      <c r="C67" s="444"/>
      <c r="D67" s="442"/>
      <c r="E67" s="442"/>
      <c r="F67" s="462"/>
      <c r="G67" s="463">
        <f>IF(ISERROR(VLOOKUP(A67,'Data Sheet Costs'!$A:$C,3,FALSE)),0,VLOOKUP(A67,'Data Sheet Costs'!$A:$C,3,FALSE))</f>
        <v>0</v>
      </c>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427"/>
      <c r="AR67" s="440">
        <f>(SUM(H67:AP67))*G67</f>
        <v>0</v>
      </c>
      <c r="AS67" s="440">
        <f>IF('Study Information &amp; rates'!$B$44="Yes",AR67*0.287,0)</f>
        <v>0</v>
      </c>
      <c r="AT67" s="440">
        <f>IF('Study Information &amp; rates'!$B$44="No",0,AR67*0.05)</f>
        <v>0</v>
      </c>
      <c r="AU67" s="440">
        <f>AR67+AS67+AT67</f>
        <v>0</v>
      </c>
      <c r="AV67" s="440">
        <f>'Set-up and other costs'!$B$18*AU67</f>
        <v>0</v>
      </c>
      <c r="BG67" s="6" t="b">
        <f>IF($B67='Look Up'!$A$5,$H67)</f>
        <v>0</v>
      </c>
      <c r="BH67" s="6" t="b">
        <f>IF($B67='Look Up'!$A$6,$H67)</f>
        <v>0</v>
      </c>
      <c r="BI67" s="6" t="b">
        <f>IF($B67='Look Up'!$A$7,$H67)</f>
        <v>0</v>
      </c>
      <c r="BJ67" s="6" t="b">
        <f>IF($B67='Look Up'!$A$7,$H67)</f>
        <v>0</v>
      </c>
      <c r="BO67" s="6" t="str">
        <f>C67&amp;B67</f>
        <v/>
      </c>
    </row>
    <row r="68" spans="1:67" ht="15.75" customHeight="1">
      <c r="A68" s="8"/>
      <c r="B68" s="8"/>
      <c r="C68" s="444"/>
      <c r="D68" s="442"/>
      <c r="E68" s="442"/>
      <c r="F68" s="462"/>
      <c r="G68" s="463">
        <f>IF(ISERROR(VLOOKUP(A68,'Data Sheet Costs'!$A:$C,3,FALSE)),0,VLOOKUP(A68,'Data Sheet Costs'!$A:$C,3,FALSE))</f>
        <v>0</v>
      </c>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302"/>
      <c r="AO68" s="302"/>
      <c r="AP68" s="302"/>
      <c r="AQ68" s="427"/>
      <c r="AR68" s="440">
        <f>(SUM(H68:AP68))*G68</f>
        <v>0</v>
      </c>
      <c r="AS68" s="440">
        <f>IF('Study Information &amp; rates'!$B$44="Yes",AR68*0.287,0)</f>
        <v>0</v>
      </c>
      <c r="AT68" s="440">
        <f>IF('Study Information &amp; rates'!$B$44="No",0,AR68*0.05)</f>
        <v>0</v>
      </c>
      <c r="AU68" s="440">
        <f>AR68+AS68+AT68</f>
        <v>0</v>
      </c>
      <c r="AV68" s="440">
        <f>'Set-up and other costs'!$B$18*AU68</f>
        <v>0</v>
      </c>
      <c r="BG68" s="6" t="b">
        <f>IF($B68='Look Up'!$A$5,$H68)</f>
        <v>0</v>
      </c>
      <c r="BH68" s="6" t="b">
        <f>IF($B68='Look Up'!$A$6,$H68)</f>
        <v>0</v>
      </c>
      <c r="BI68" s="6" t="b">
        <f>IF($B68='Look Up'!$A$7,$H68)</f>
        <v>0</v>
      </c>
      <c r="BJ68" s="6" t="b">
        <f>IF($B68='Look Up'!$A$7,$H68)</f>
        <v>0</v>
      </c>
      <c r="BO68" s="6" t="str">
        <f>C68&amp;B68</f>
        <v/>
      </c>
    </row>
    <row r="69" spans="1:67">
      <c r="A69" s="8"/>
      <c r="B69" s="8"/>
      <c r="C69" s="444"/>
      <c r="D69" s="442"/>
      <c r="E69" s="442"/>
      <c r="F69" s="462"/>
      <c r="G69" s="463">
        <f>IF(ISERROR(VLOOKUP(A69,'Data Sheet Costs'!$A:$C,3,FALSE)),0,VLOOKUP(A69,'Data Sheet Costs'!$A:$C,3,FALSE))</f>
        <v>0</v>
      </c>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02"/>
      <c r="AP69" s="302"/>
      <c r="AQ69" s="427"/>
      <c r="AR69" s="440">
        <f>(SUM(H69:AP69))*G69</f>
        <v>0</v>
      </c>
      <c r="AS69" s="440">
        <f>IF('Study Information &amp; rates'!$B$44="Yes",AR69*0.287,0)</f>
        <v>0</v>
      </c>
      <c r="AT69" s="440">
        <f>IF('Study Information &amp; rates'!$B$44="No",0,AR69*0.05)</f>
        <v>0</v>
      </c>
      <c r="AU69" s="440">
        <f>AR69+AS69+AT69</f>
        <v>0</v>
      </c>
      <c r="AV69" s="440">
        <f>'Set-up and other costs'!$B$18*AU69</f>
        <v>0</v>
      </c>
      <c r="BG69" s="6" t="b">
        <f>IF($B69='Look Up'!$A$5,$H69)</f>
        <v>0</v>
      </c>
      <c r="BH69" s="6" t="b">
        <f>IF($B69='Look Up'!$A$6,$H69)</f>
        <v>0</v>
      </c>
      <c r="BI69" s="6" t="b">
        <f>IF($B69='Look Up'!$A$7,$H69)</f>
        <v>0</v>
      </c>
      <c r="BJ69" s="6" t="b">
        <f>IF($B69='Look Up'!$A$7,$H69)</f>
        <v>0</v>
      </c>
      <c r="BO69" s="6" t="str">
        <f>C69&amp;B69</f>
        <v/>
      </c>
    </row>
    <row r="70" spans="1:67">
      <c r="A70" s="8"/>
      <c r="B70" s="8"/>
      <c r="C70" s="444"/>
      <c r="D70" s="442"/>
      <c r="E70" s="442"/>
      <c r="F70" s="462"/>
      <c r="G70" s="463">
        <f>IF(ISERROR(VLOOKUP(A70,'Data Sheet Costs'!$A:$C,3,FALSE)),0,VLOOKUP(A70,'Data Sheet Costs'!$A:$C,3,FALSE))</f>
        <v>0</v>
      </c>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427"/>
      <c r="AR70" s="440">
        <f>(SUM(H70:AP70))*G70</f>
        <v>0</v>
      </c>
      <c r="AS70" s="440">
        <f>IF('Study Information &amp; rates'!$B$44="Yes",AR70*0.287,0)</f>
        <v>0</v>
      </c>
      <c r="AT70" s="440">
        <f>IF('Study Information &amp; rates'!$B$44="No",0,AR70*0.05)</f>
        <v>0</v>
      </c>
      <c r="AU70" s="440">
        <f>AR70+AS70+AT70</f>
        <v>0</v>
      </c>
      <c r="AV70" s="440">
        <f>'Set-up and other costs'!$B$18*AU70</f>
        <v>0</v>
      </c>
      <c r="BG70" s="6" t="b">
        <f>IF($B70='Look Up'!$A$5,$H70)</f>
        <v>0</v>
      </c>
      <c r="BH70" s="6" t="b">
        <f>IF($B70='Look Up'!$A$6,$H70)</f>
        <v>0</v>
      </c>
      <c r="BI70" s="6" t="b">
        <f>IF($B70='Look Up'!$A$7,$H70)</f>
        <v>0</v>
      </c>
      <c r="BJ70" s="6" t="b">
        <f>IF($B70='Look Up'!$A$7,$H70)</f>
        <v>0</v>
      </c>
      <c r="BO70" s="6" t="str">
        <f>C70&amp;B70</f>
        <v/>
      </c>
    </row>
    <row r="71" spans="1:67" ht="15.75" customHeight="1">
      <c r="A71" s="8"/>
      <c r="B71" s="8"/>
      <c r="C71" s="444"/>
      <c r="D71" s="442"/>
      <c r="E71" s="442"/>
      <c r="F71" s="462"/>
      <c r="G71" s="463">
        <f>IF(ISERROR(VLOOKUP(A71,'Data Sheet Costs'!$A:$C,3,FALSE)),0,VLOOKUP(A71,'Data Sheet Costs'!$A:$C,3,FALSE))</f>
        <v>0</v>
      </c>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427"/>
      <c r="AR71" s="440">
        <f>(SUM(H71:AP71))*G71</f>
        <v>0</v>
      </c>
      <c r="AS71" s="440">
        <f>IF('Study Information &amp; rates'!$B$44="Yes",AR71*0.287,0)</f>
        <v>0</v>
      </c>
      <c r="AT71" s="440">
        <f>IF('Study Information &amp; rates'!$B$44="No",0,AR71*0.05)</f>
        <v>0</v>
      </c>
      <c r="AU71" s="440">
        <f>AR71+AS71+AT71</f>
        <v>0</v>
      </c>
      <c r="AV71" s="440">
        <f>'Set-up and other costs'!$B$18*AU71</f>
        <v>0</v>
      </c>
      <c r="BG71" s="6" t="b">
        <f>IF($B71='Look Up'!$A$5,$H71)</f>
        <v>0</v>
      </c>
      <c r="BH71" s="6" t="b">
        <f>IF($B71='Look Up'!$A$6,$H71)</f>
        <v>0</v>
      </c>
      <c r="BI71" s="6" t="b">
        <f>IF($B71='Look Up'!$A$7,$H71)</f>
        <v>0</v>
      </c>
      <c r="BJ71" s="6" t="b">
        <f>IF($B71='Look Up'!$A$7,$H71)</f>
        <v>0</v>
      </c>
      <c r="BO71" s="6" t="str">
        <f>C71&amp;B71</f>
        <v/>
      </c>
    </row>
    <row r="72" spans="1:67">
      <c r="A72" s="8"/>
      <c r="B72" s="8"/>
      <c r="C72" s="444"/>
      <c r="D72" s="442"/>
      <c r="E72" s="442"/>
      <c r="F72" s="462"/>
      <c r="G72" s="463">
        <f>IF(ISERROR(VLOOKUP(A72,'Data Sheet Costs'!$A:$C,3,FALSE)),0,VLOOKUP(A72,'Data Sheet Costs'!$A:$C,3,FALSE))</f>
        <v>0</v>
      </c>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302"/>
      <c r="AP72" s="302"/>
      <c r="AQ72" s="427"/>
      <c r="AR72" s="440">
        <f>(SUM(H72:AP72))*G72</f>
        <v>0</v>
      </c>
      <c r="AS72" s="440">
        <f>IF('Study Information &amp; rates'!$B$44="Yes",AR72*0.287,0)</f>
        <v>0</v>
      </c>
      <c r="AT72" s="440">
        <f>IF('Study Information &amp; rates'!$B$44="No",0,AR72*0.05)</f>
        <v>0</v>
      </c>
      <c r="AU72" s="440">
        <f>AR72+AS72+AT72</f>
        <v>0</v>
      </c>
      <c r="AV72" s="440">
        <f>'Set-up and other costs'!$B$18*AU72</f>
        <v>0</v>
      </c>
      <c r="BG72" s="6" t="b">
        <f>IF($B72='Look Up'!$A$5,$H72)</f>
        <v>0</v>
      </c>
      <c r="BH72" s="6" t="b">
        <f>IF($B72='Look Up'!$A$6,$H72)</f>
        <v>0</v>
      </c>
      <c r="BI72" s="6" t="b">
        <f>IF($B72='Look Up'!$A$7,$H72)</f>
        <v>0</v>
      </c>
      <c r="BJ72" s="6" t="b">
        <f>IF($B72='Look Up'!$A$7,$H72)</f>
        <v>0</v>
      </c>
      <c r="BO72" s="6" t="str">
        <f>C72&amp;B72</f>
        <v/>
      </c>
    </row>
    <row r="73" spans="1:67">
      <c r="A73" s="8"/>
      <c r="B73" s="8"/>
      <c r="C73" s="444"/>
      <c r="D73" s="442"/>
      <c r="E73" s="442"/>
      <c r="F73" s="462"/>
      <c r="G73" s="463">
        <f>IF(ISERROR(VLOOKUP(A73,'Data Sheet Costs'!$A:$C,3,FALSE)),0,VLOOKUP(A73,'Data Sheet Costs'!$A:$C,3,FALSE))</f>
        <v>0</v>
      </c>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302"/>
      <c r="AP73" s="302"/>
      <c r="AQ73" s="427"/>
      <c r="AR73" s="440">
        <f>(SUM(H73:AP73))*G73</f>
        <v>0</v>
      </c>
      <c r="AS73" s="440">
        <f>IF('Study Information &amp; rates'!$B$44="Yes",AR73*0.287,0)</f>
        <v>0</v>
      </c>
      <c r="AT73" s="440">
        <f>IF('Study Information &amp; rates'!$B$44="No",0,AR73*0.05)</f>
        <v>0</v>
      </c>
      <c r="AU73" s="440">
        <f>AR73+AS73+AT73</f>
        <v>0</v>
      </c>
      <c r="AV73" s="440">
        <f>'Set-up and other costs'!$B$18*AU73</f>
        <v>0</v>
      </c>
      <c r="BG73" s="6" t="b">
        <f>IF($B73='Look Up'!$A$5,$H73)</f>
        <v>0</v>
      </c>
      <c r="BH73" s="6" t="b">
        <f>IF($B73='Look Up'!$A$6,$H73)</f>
        <v>0</v>
      </c>
      <c r="BI73" s="6" t="b">
        <f>IF($B73='Look Up'!$A$7,$H73)</f>
        <v>0</v>
      </c>
      <c r="BJ73" s="6" t="b">
        <f>IF($B73='Look Up'!$A$7,$H73)</f>
        <v>0</v>
      </c>
      <c r="BO73" s="6" t="str">
        <f>C73&amp;B73</f>
        <v/>
      </c>
    </row>
    <row r="74" spans="1:67" ht="15.75" customHeight="1">
      <c r="A74" s="8"/>
      <c r="B74" s="8"/>
      <c r="C74" s="444"/>
      <c r="D74" s="442"/>
      <c r="E74" s="442"/>
      <c r="F74" s="462"/>
      <c r="G74" s="463">
        <f>IF(ISERROR(VLOOKUP(A74,'Data Sheet Costs'!$A:$C,3,FALSE)),0,VLOOKUP(A74,'Data Sheet Costs'!$A:$C,3,FALSE))</f>
        <v>0</v>
      </c>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427"/>
      <c r="AR74" s="440">
        <f>(SUM(H74:AP74))*G74</f>
        <v>0</v>
      </c>
      <c r="AS74" s="440">
        <f>IF('Study Information &amp; rates'!$B$44="Yes",AR74*0.287,0)</f>
        <v>0</v>
      </c>
      <c r="AT74" s="440">
        <f>IF('Study Information &amp; rates'!$B$44="No",0,AR74*0.05)</f>
        <v>0</v>
      </c>
      <c r="AU74" s="440">
        <f>AR74+AS74+AT74</f>
        <v>0</v>
      </c>
      <c r="AV74" s="440">
        <f>'Set-up and other costs'!$B$18*AU74</f>
        <v>0</v>
      </c>
      <c r="BG74" s="6" t="b">
        <f>IF($B74='Look Up'!$A$5,$H74)</f>
        <v>0</v>
      </c>
      <c r="BH74" s="6" t="b">
        <f>IF($B74='Look Up'!$A$6,$H74)</f>
        <v>0</v>
      </c>
      <c r="BI74" s="6" t="b">
        <f>IF($B74='Look Up'!$A$7,$H74)</f>
        <v>0</v>
      </c>
      <c r="BJ74" s="6" t="b">
        <f>IF($B74='Look Up'!$A$7,$H74)</f>
        <v>0</v>
      </c>
      <c r="BO74" s="6" t="str">
        <f>C74&amp;B74</f>
        <v/>
      </c>
    </row>
    <row r="75" spans="1:67">
      <c r="A75" s="8"/>
      <c r="B75" s="8"/>
      <c r="C75" s="444"/>
      <c r="D75" s="442"/>
      <c r="E75" s="442"/>
      <c r="F75" s="462"/>
      <c r="G75" s="463">
        <f>IF(ISERROR(VLOOKUP(A75,'Data Sheet Costs'!$A:$C,3,FALSE)),0,VLOOKUP(A75,'Data Sheet Costs'!$A:$C,3,FALSE))</f>
        <v>0</v>
      </c>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427"/>
      <c r="AR75" s="440">
        <f>(SUM(H75:AP75))*G75</f>
        <v>0</v>
      </c>
      <c r="AS75" s="440">
        <f>IF('Study Information &amp; rates'!$B$44="Yes",AR75*0.287,0)</f>
        <v>0</v>
      </c>
      <c r="AT75" s="440">
        <f>IF('Study Information &amp; rates'!$B$44="No",0,AR75*0.05)</f>
        <v>0</v>
      </c>
      <c r="AU75" s="440">
        <f>AR75+AS75+AT75</f>
        <v>0</v>
      </c>
      <c r="AV75" s="440">
        <f>'Set-up and other costs'!$B$18*AU75</f>
        <v>0</v>
      </c>
      <c r="BG75" s="6" t="b">
        <f>IF($B75='Look Up'!$A$5,$H75)</f>
        <v>0</v>
      </c>
      <c r="BH75" s="6" t="b">
        <f>IF($B75='Look Up'!$A$6,$H75)</f>
        <v>0</v>
      </c>
      <c r="BI75" s="6" t="b">
        <f>IF($B75='Look Up'!$A$7,$H75)</f>
        <v>0</v>
      </c>
      <c r="BJ75" s="6" t="b">
        <f>IF($B75='Look Up'!$A$7,$H75)</f>
        <v>0</v>
      </c>
      <c r="BO75" s="6" t="str">
        <f>C75&amp;B75</f>
        <v/>
      </c>
    </row>
    <row r="76" spans="1:67">
      <c r="A76" s="8"/>
      <c r="B76" s="8"/>
      <c r="C76" s="444"/>
      <c r="D76" s="442"/>
      <c r="E76" s="442"/>
      <c r="F76" s="462"/>
      <c r="G76" s="463">
        <f>IF(ISERROR(VLOOKUP(A76,'Data Sheet Costs'!$A:$C,3,FALSE)),0,VLOOKUP(A76,'Data Sheet Costs'!$A:$C,3,FALSE))</f>
        <v>0</v>
      </c>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427"/>
      <c r="AR76" s="440">
        <f>(SUM(H76:AP76))*G76</f>
        <v>0</v>
      </c>
      <c r="AS76" s="440">
        <f>IF('Study Information &amp; rates'!$B$44="Yes",AR76*0.287,0)</f>
        <v>0</v>
      </c>
      <c r="AT76" s="440">
        <f>IF('Study Information &amp; rates'!$B$44="No",0,AR76*0.05)</f>
        <v>0</v>
      </c>
      <c r="AU76" s="440">
        <f>AR76+AS76+AT76</f>
        <v>0</v>
      </c>
      <c r="AV76" s="440">
        <f>'Set-up and other costs'!$B$18*AU76</f>
        <v>0</v>
      </c>
      <c r="BG76" s="6" t="b">
        <f>IF($B76='Look Up'!$A$5,$H76)</f>
        <v>0</v>
      </c>
      <c r="BH76" s="6" t="b">
        <f>IF($B76='Look Up'!$A$6,$H76)</f>
        <v>0</v>
      </c>
      <c r="BI76" s="6" t="b">
        <f>IF($B76='Look Up'!$A$7,$H76)</f>
        <v>0</v>
      </c>
      <c r="BJ76" s="6" t="b">
        <f>IF($B76='Look Up'!$A$7,$H76)</f>
        <v>0</v>
      </c>
      <c r="BO76" s="6" t="str">
        <f>C76&amp;B76</f>
        <v/>
      </c>
    </row>
    <row r="77" spans="1:67" ht="15.75" customHeight="1">
      <c r="A77" s="8"/>
      <c r="B77" s="8"/>
      <c r="C77" s="444"/>
      <c r="D77" s="442"/>
      <c r="E77" s="442"/>
      <c r="F77" s="462"/>
      <c r="G77" s="463">
        <f>IF(ISERROR(VLOOKUP(A77,'Data Sheet Costs'!$A:$C,3,FALSE)),0,VLOOKUP(A77,'Data Sheet Costs'!$A:$C,3,FALSE))</f>
        <v>0</v>
      </c>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427"/>
      <c r="AR77" s="440">
        <f>(SUM(H77:AP77))*G77</f>
        <v>0</v>
      </c>
      <c r="AS77" s="440">
        <f>IF('Study Information &amp; rates'!$B$44="Yes",AR77*0.287,0)</f>
        <v>0</v>
      </c>
      <c r="AT77" s="440">
        <f>IF('Study Information &amp; rates'!$B$44="No",0,AR77*0.05)</f>
        <v>0</v>
      </c>
      <c r="AU77" s="440">
        <f>AR77+AS77+AT77</f>
        <v>0</v>
      </c>
      <c r="AV77" s="440">
        <f>'Set-up and other costs'!$B$18*AU77</f>
        <v>0</v>
      </c>
      <c r="BG77" s="6" t="b">
        <f>IF($B77='Look Up'!$A$5,$H77)</f>
        <v>0</v>
      </c>
      <c r="BH77" s="6" t="b">
        <f>IF($B77='Look Up'!$A$6,$H77)</f>
        <v>0</v>
      </c>
      <c r="BI77" s="6" t="b">
        <f>IF($B77='Look Up'!$A$7,$H77)</f>
        <v>0</v>
      </c>
      <c r="BJ77" s="6" t="b">
        <f>IF($B77='Look Up'!$A$7,$H77)</f>
        <v>0</v>
      </c>
      <c r="BO77" s="6" t="str">
        <f>C77&amp;B77</f>
        <v/>
      </c>
    </row>
    <row r="78" spans="1:67">
      <c r="A78" s="8"/>
      <c r="B78" s="8"/>
      <c r="C78" s="444"/>
      <c r="D78" s="442"/>
      <c r="E78" s="442"/>
      <c r="F78" s="462"/>
      <c r="G78" s="463">
        <f>IF(ISERROR(VLOOKUP(A78,'Data Sheet Costs'!$A:$C,3,FALSE)),0,VLOOKUP(A78,'Data Sheet Costs'!$A:$C,3,FALSE))</f>
        <v>0</v>
      </c>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427"/>
      <c r="AR78" s="440">
        <f>(SUM(H78:AP78))*G78</f>
        <v>0</v>
      </c>
      <c r="AS78" s="440">
        <f>IF('Study Information &amp; rates'!$B$44="Yes",AR78*0.287,0)</f>
        <v>0</v>
      </c>
      <c r="AT78" s="440">
        <f>IF('Study Information &amp; rates'!$B$44="No",0,AR78*0.05)</f>
        <v>0</v>
      </c>
      <c r="AU78" s="440">
        <f>AR78+AS78+AT78</f>
        <v>0</v>
      </c>
      <c r="AV78" s="440">
        <f>'Set-up and other costs'!$B$18*AU78</f>
        <v>0</v>
      </c>
      <c r="BG78" s="6" t="b">
        <f>IF($B78='Look Up'!$A$5,$H78)</f>
        <v>0</v>
      </c>
      <c r="BH78" s="6" t="b">
        <f>IF($B78='Look Up'!$A$6,$H78)</f>
        <v>0</v>
      </c>
      <c r="BI78" s="6" t="b">
        <f>IF($B78='Look Up'!$A$7,$H78)</f>
        <v>0</v>
      </c>
      <c r="BJ78" s="6" t="b">
        <f>IF($B78='Look Up'!$A$7,$H78)</f>
        <v>0</v>
      </c>
      <c r="BO78" s="6" t="str">
        <f>C78&amp;B78</f>
        <v/>
      </c>
    </row>
    <row r="79" spans="1:67">
      <c r="A79" s="8"/>
      <c r="B79" s="8"/>
      <c r="C79" s="444"/>
      <c r="D79" s="442"/>
      <c r="E79" s="442"/>
      <c r="F79" s="462"/>
      <c r="G79" s="463">
        <f>IF(ISERROR(VLOOKUP(A79,'Data Sheet Costs'!$A:$C,3,FALSE)),0,VLOOKUP(A79,'Data Sheet Costs'!$A:$C,3,FALSE))</f>
        <v>0</v>
      </c>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427"/>
      <c r="AR79" s="440">
        <f>(SUM(H79:AP79))*G79</f>
        <v>0</v>
      </c>
      <c r="AS79" s="440">
        <f>IF('Study Information &amp; rates'!$B$44="Yes",AR79*0.287,0)</f>
        <v>0</v>
      </c>
      <c r="AT79" s="440">
        <f>IF('Study Information &amp; rates'!$B$44="No",0,AR79*0.05)</f>
        <v>0</v>
      </c>
      <c r="AU79" s="440">
        <f>AR79+AS79+AT79</f>
        <v>0</v>
      </c>
      <c r="AV79" s="440">
        <f>'Set-up and other costs'!$B$18*AU79</f>
        <v>0</v>
      </c>
      <c r="BG79" s="6" t="b">
        <f>IF($B79='Look Up'!$A$5,$H79)</f>
        <v>0</v>
      </c>
      <c r="BH79" s="6" t="b">
        <f>IF($B79='Look Up'!$A$6,$H79)</f>
        <v>0</v>
      </c>
      <c r="BI79" s="6" t="b">
        <f>IF($B79='Look Up'!$A$7,$H79)</f>
        <v>0</v>
      </c>
      <c r="BJ79" s="6" t="b">
        <f>IF($B79='Look Up'!$A$7,$H79)</f>
        <v>0</v>
      </c>
      <c r="BO79" s="6" t="str">
        <f>C79&amp;B79</f>
        <v/>
      </c>
    </row>
    <row r="80" spans="1:67" ht="15.75" customHeight="1">
      <c r="A80" s="8"/>
      <c r="B80" s="8"/>
      <c r="C80" s="444"/>
      <c r="D80" s="442"/>
      <c r="E80" s="442"/>
      <c r="F80" s="462"/>
      <c r="G80" s="463">
        <f>IF(ISERROR(VLOOKUP(A80,'Data Sheet Costs'!$A:$C,3,FALSE)),0,VLOOKUP(A80,'Data Sheet Costs'!$A:$C,3,FALSE))</f>
        <v>0</v>
      </c>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427"/>
      <c r="AR80" s="440">
        <f>(SUM(H80:AP80))*G80</f>
        <v>0</v>
      </c>
      <c r="AS80" s="440">
        <f>IF('Study Information &amp; rates'!$B$44="Yes",AR80*0.287,0)</f>
        <v>0</v>
      </c>
      <c r="AT80" s="440">
        <f>IF('Study Information &amp; rates'!$B$44="No",0,AR80*0.05)</f>
        <v>0</v>
      </c>
      <c r="AU80" s="440">
        <f>AR80+AS80+AT80</f>
        <v>0</v>
      </c>
      <c r="AV80" s="440">
        <f>'Set-up and other costs'!$B$18*AU80</f>
        <v>0</v>
      </c>
      <c r="BG80" s="6" t="b">
        <f>IF($B80='Look Up'!$A$5,$H80)</f>
        <v>0</v>
      </c>
      <c r="BH80" s="6" t="b">
        <f>IF($B80='Look Up'!$A$6,$H80)</f>
        <v>0</v>
      </c>
      <c r="BI80" s="6" t="b">
        <f>IF($B80='Look Up'!$A$7,$H80)</f>
        <v>0</v>
      </c>
      <c r="BJ80" s="6" t="b">
        <f>IF($B80='Look Up'!$A$7,$H80)</f>
        <v>0</v>
      </c>
      <c r="BO80" s="6" t="str">
        <f>C80&amp;B80</f>
        <v/>
      </c>
    </row>
    <row r="81" spans="1:67" ht="15" customHeight="1">
      <c r="A81" s="8"/>
      <c r="B81" s="8"/>
      <c r="C81" s="444"/>
      <c r="D81" s="460"/>
      <c r="E81" s="460"/>
      <c r="F81" s="461"/>
      <c r="G81" s="463">
        <f>IF(ISERROR(VLOOKUP(A81,'Data Sheet Costs'!$A:$C,3,FALSE)),0,VLOOKUP(A81,'Data Sheet Costs'!$A:$C,3,FALSE))</f>
        <v>0</v>
      </c>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c r="AP81" s="302"/>
      <c r="AQ81" s="427"/>
      <c r="AR81" s="440">
        <f>(SUM(H81:AP81))*G81</f>
        <v>0</v>
      </c>
      <c r="AS81" s="440">
        <f>IF('Study Information &amp; rates'!$B$44="Yes",AR81*0.287,0)</f>
        <v>0</v>
      </c>
      <c r="AT81" s="440">
        <f>IF('Study Information &amp; rates'!$B$44="No",0,AR81*0.05)</f>
        <v>0</v>
      </c>
      <c r="AU81" s="440">
        <f>AR81+AS81+AT81</f>
        <v>0</v>
      </c>
      <c r="AV81" s="440">
        <f>'Set-up and other costs'!$B$18*AU81</f>
        <v>0</v>
      </c>
      <c r="BG81" s="6" t="b">
        <f>IF($B81='Look Up'!$A$5,$H81)</f>
        <v>0</v>
      </c>
      <c r="BH81" s="6" t="b">
        <f>IF($B81='Look Up'!$A$6,$H81)</f>
        <v>0</v>
      </c>
      <c r="BI81" s="6" t="b">
        <f>IF($B81='Look Up'!$A$7,$H81)</f>
        <v>0</v>
      </c>
      <c r="BJ81" s="6" t="b">
        <f>IF($B81='Look Up'!$A$7,$H81)</f>
        <v>0</v>
      </c>
      <c r="BO81" s="6" t="str">
        <f>C81&amp;B81</f>
        <v/>
      </c>
    </row>
    <row r="82" spans="8:48">
      <c r="H82" s="4">
        <f>SUM(H56:H81)</f>
        <v>0</v>
      </c>
      <c r="I82" s="4">
        <f>SUM(I56:I81)</f>
        <v>0</v>
      </c>
      <c r="J82" s="4">
        <f>SUM(J56:J81)</f>
        <v>0</v>
      </c>
      <c r="K82" s="4">
        <f>SUM(K56:K81)</f>
        <v>0</v>
      </c>
      <c r="L82" s="4">
        <f>SUM(L56:L81)</f>
        <v>0</v>
      </c>
      <c r="M82" s="4">
        <f>SUM(M56:M81)</f>
        <v>0</v>
      </c>
      <c r="N82" s="4">
        <f>SUM(N56:N81)</f>
        <v>0</v>
      </c>
      <c r="O82" s="4">
        <f>SUM(O56:O81)</f>
        <v>0</v>
      </c>
      <c r="P82" s="4">
        <f>SUM(P56:P81)</f>
        <v>0</v>
      </c>
      <c r="Q82" s="4">
        <f>SUM(Q56:Q81)</f>
        <v>0</v>
      </c>
      <c r="R82" s="4">
        <f>SUM(R56:R81)</f>
        <v>0</v>
      </c>
      <c r="S82" s="4">
        <f>SUM(S56:S81)</f>
        <v>0</v>
      </c>
      <c r="T82" s="4">
        <f>SUM(T56:T81)</f>
        <v>0</v>
      </c>
      <c r="U82" s="4">
        <f>SUM(U56:U81)</f>
        <v>0</v>
      </c>
      <c r="V82" s="4">
        <f>SUM(V56:V81)</f>
        <v>0</v>
      </c>
      <c r="W82" s="4">
        <f>SUM(W56:W81)</f>
        <v>0</v>
      </c>
      <c r="X82" s="4">
        <f>SUM(X56:X81)</f>
        <v>0</v>
      </c>
      <c r="Y82" s="4">
        <f>SUM(Y56:Y81)</f>
        <v>0</v>
      </c>
      <c r="Z82" s="4">
        <f>SUM(Z56:Z81)</f>
        <v>0</v>
      </c>
      <c r="AA82" s="4">
        <f>SUM(AA56:AA81)</f>
        <v>0</v>
      </c>
      <c r="AB82" s="4">
        <f>SUM(AB56:AB81)</f>
        <v>0</v>
      </c>
      <c r="AC82" s="4">
        <f>SUM(AC56:AC81)</f>
        <v>0</v>
      </c>
      <c r="AD82" s="4">
        <f>SUM(AD56:AD81)</f>
        <v>0</v>
      </c>
      <c r="AE82" s="4">
        <f>SUM(AE56:AE81)</f>
        <v>0</v>
      </c>
      <c r="AF82" s="4">
        <f>SUM(AF56:AF81)</f>
        <v>0</v>
      </c>
      <c r="AG82" s="4">
        <f>SUM(AG56:AG81)</f>
        <v>0</v>
      </c>
      <c r="AH82" s="4">
        <f>SUM(AH56:AH81)</f>
        <v>0</v>
      </c>
      <c r="AI82" s="4">
        <f>SUM(AI56:AI81)</f>
        <v>0</v>
      </c>
      <c r="AJ82" s="4">
        <f>SUM(AJ56:AJ81)</f>
        <v>0</v>
      </c>
      <c r="AK82" s="4">
        <f>SUM(AK56:AK81)</f>
        <v>0</v>
      </c>
      <c r="AL82" s="4">
        <f>SUM(AL56:AL81)</f>
        <v>0</v>
      </c>
      <c r="AM82" s="4">
        <f>SUM(AM56:AM81)</f>
        <v>0</v>
      </c>
      <c r="AN82" s="4">
        <f>SUM(AN56:AN81)</f>
        <v>0</v>
      </c>
      <c r="AO82" s="4">
        <f>SUM(AO56:AO81)</f>
        <v>0</v>
      </c>
      <c r="AP82" s="4">
        <f>SUM(AP56:AP81)</f>
        <v>0</v>
      </c>
      <c r="AQ82" s="474"/>
      <c r="AR82" s="440">
        <f>SUM(AR56:AR81)</f>
        <v>0</v>
      </c>
      <c r="AS82" s="440">
        <f>SUM(AS56:AS81)</f>
        <v>0</v>
      </c>
      <c r="AT82" s="440">
        <f>SUM(AT56:AT81)</f>
        <v>0</v>
      </c>
      <c r="AU82" s="440">
        <f>SUM(AU56:AU81)</f>
        <v>0</v>
      </c>
      <c r="AV82" s="440">
        <f>'Set-up and other costs'!$B$18*AU82</f>
        <v>0</v>
      </c>
    </row>
    <row r="83" spans="44:48">
      <c r="AR83" s="510"/>
      <c r="AS83" s="510"/>
      <c r="AT83" s="510"/>
      <c r="AU83" s="510"/>
      <c r="AV83" s="510"/>
    </row>
    <row r="84" spans="44:48" ht="13.5" thickBot="1">
      <c r="AR84" s="510" t="s">
        <v>50</v>
      </c>
      <c r="AS84" s="510"/>
      <c r="AT84" s="510"/>
      <c r="AU84" s="510"/>
      <c r="AV84" s="510"/>
    </row>
    <row r="85" spans="1:59" ht="13.5" thickBot="1">
      <c r="A85" s="39" t="s">
        <v>1972</v>
      </c>
      <c r="B85" s="41"/>
      <c r="C85" s="41"/>
      <c r="D85" s="41"/>
      <c r="E85" s="41"/>
      <c r="F85" s="41"/>
      <c r="G85" s="42"/>
      <c r="H85" s="515">
        <f>(H48*'Study Information &amp; rates'!$B$101)</f>
        <v>0</v>
      </c>
      <c r="I85" s="516">
        <f>(I48*'Study Information &amp; rates'!$B$101)</f>
        <v>0</v>
      </c>
      <c r="J85" s="516">
        <f>(J48*'Study Information &amp; rates'!$B$101)</f>
        <v>0</v>
      </c>
      <c r="K85" s="516">
        <f>(K48*'Study Information &amp; rates'!$B$101)</f>
        <v>0</v>
      </c>
      <c r="L85" s="516">
        <f>(L48*'Study Information &amp; rates'!$B$101)</f>
        <v>0</v>
      </c>
      <c r="M85" s="516">
        <f>(M48*'Study Information &amp; rates'!$B$101)</f>
        <v>0</v>
      </c>
      <c r="N85" s="516">
        <f>(N48*'Study Information &amp; rates'!$B$101)</f>
        <v>0</v>
      </c>
      <c r="O85" s="516">
        <f>(O48*'Study Information &amp; rates'!$B$101)</f>
        <v>0</v>
      </c>
      <c r="P85" s="516">
        <f>(P48*'Study Information &amp; rates'!$B$101)</f>
        <v>0</v>
      </c>
      <c r="Q85" s="516">
        <f>(Q48*'Study Information &amp; rates'!$B$101)</f>
        <v>0</v>
      </c>
      <c r="R85" s="516">
        <f>(R48*'Study Information &amp; rates'!$B$101)</f>
        <v>0</v>
      </c>
      <c r="S85" s="516">
        <f>(S48*'Study Information &amp; rates'!$B$101)</f>
        <v>0</v>
      </c>
      <c r="T85" s="516">
        <f>(T48*'Study Information &amp; rates'!$B$101)</f>
        <v>0</v>
      </c>
      <c r="U85" s="516">
        <f>(U48*'Study Information &amp; rates'!$B$101)</f>
        <v>0</v>
      </c>
      <c r="V85" s="516">
        <f>(V48*'Study Information &amp; rates'!$B$101)</f>
        <v>0</v>
      </c>
      <c r="W85" s="516">
        <f>(W48*'Study Information &amp; rates'!$B$101)</f>
        <v>0</v>
      </c>
      <c r="X85" s="516">
        <f>(X48*'Study Information &amp; rates'!$B$101)</f>
        <v>0</v>
      </c>
      <c r="Y85" s="516">
        <f>(Y48*'Study Information &amp; rates'!$B$101)</f>
        <v>0</v>
      </c>
      <c r="Z85" s="516">
        <f>(Z48*'Study Information &amp; rates'!$B$101)</f>
        <v>0</v>
      </c>
      <c r="AA85" s="516">
        <f>(AA48*'Study Information &amp; rates'!$B$101)</f>
        <v>0</v>
      </c>
      <c r="AB85" s="516">
        <f>(AB48*'Study Information &amp; rates'!$B$101)</f>
        <v>0</v>
      </c>
      <c r="AC85" s="516">
        <f>(AC48*'Study Information &amp; rates'!$B$101)</f>
        <v>0</v>
      </c>
      <c r="AD85" s="516">
        <f>(AD48*'Study Information &amp; rates'!$B$101)</f>
        <v>0</v>
      </c>
      <c r="AE85" s="516">
        <f>(AE48*'Study Information &amp; rates'!$B$101)</f>
        <v>0</v>
      </c>
      <c r="AF85" s="516">
        <f>(AF48*'Study Information &amp; rates'!$B$101)</f>
        <v>0</v>
      </c>
      <c r="AG85" s="516">
        <f>(AG48*'Study Information &amp; rates'!$B$101)</f>
        <v>0</v>
      </c>
      <c r="AH85" s="516">
        <f>(AH48*'Study Information &amp; rates'!$B$101)</f>
        <v>0</v>
      </c>
      <c r="AI85" s="516">
        <f>(AI48*'Study Information &amp; rates'!$B$101)</f>
        <v>0</v>
      </c>
      <c r="AJ85" s="516">
        <f>(AJ48*'Study Information &amp; rates'!$B$101)</f>
        <v>0</v>
      </c>
      <c r="AK85" s="516">
        <f>(AK48*'Study Information &amp; rates'!$B$101)</f>
        <v>0</v>
      </c>
      <c r="AL85" s="516">
        <f>(AL48*'Study Information &amp; rates'!$B$101)</f>
        <v>0</v>
      </c>
      <c r="AM85" s="516">
        <f>(AM48*'Study Information &amp; rates'!$B$101)</f>
        <v>0</v>
      </c>
      <c r="AN85" s="516">
        <f>(AN48*'Study Information &amp; rates'!$B$101)</f>
        <v>0</v>
      </c>
      <c r="AO85" s="516">
        <f>(AO48*'Study Information &amp; rates'!$B$101)</f>
        <v>0</v>
      </c>
      <c r="AP85" s="516">
        <f>(AP48*'Study Information &amp; rates'!$B$101)</f>
        <v>0</v>
      </c>
      <c r="AQ85" s="473">
        <f>SUM(G85:AO85)</f>
        <v>0</v>
      </c>
      <c r="AR85" s="440">
        <f>'Set-up and other costs'!$B$18*AQ85</f>
        <v>0</v>
      </c>
      <c r="AS85" s="510"/>
      <c r="AT85" s="510"/>
      <c r="AU85" s="510"/>
      <c r="AV85" s="510"/>
      <c r="BB85" s="4">
        <f>SUMIF($BH:$BH,1,$C:$C)+SUMIF($BJ:$BJ,1,$C:$C)</f>
        <v>0</v>
      </c>
      <c r="BC85" s="275">
        <f>BB85*'Study Information &amp; rates'!$B$101</f>
        <v>0</v>
      </c>
      <c r="BD85" s="2">
        <f>IF('Study Information &amp; rates'!$B$44='Study Information &amp; rates'!$V$12,BC85*0.287,0)</f>
        <v>0</v>
      </c>
      <c r="BE85" s="2">
        <f>IF(($AR$52*'Study Information &amp; rates'!$B$27)&gt;5000,BC85*0.05,0)</f>
        <v>0</v>
      </c>
      <c r="BF85" s="2">
        <f>BC85+BD85+BE85</f>
        <v>0</v>
      </c>
      <c r="BG85" s="13" t="b">
        <f>BF85=BF48</f>
        <v>1</v>
      </c>
    </row>
    <row r="86" spans="1:59" ht="13.5" thickBot="1">
      <c r="A86" s="39" t="s">
        <v>1973</v>
      </c>
      <c r="B86" s="20"/>
      <c r="C86" s="20"/>
      <c r="D86" s="20"/>
      <c r="E86" s="20"/>
      <c r="F86" s="20"/>
      <c r="G86" s="43"/>
      <c r="H86" s="515">
        <f>(H49*'Study Information &amp; rates'!$C$101)</f>
        <v>0</v>
      </c>
      <c r="I86" s="515">
        <f>(I49*'Study Information &amp; rates'!$C$101)</f>
        <v>0</v>
      </c>
      <c r="J86" s="515">
        <f>(J49*'Study Information &amp; rates'!$C$101)</f>
        <v>0</v>
      </c>
      <c r="K86" s="515">
        <f>(K49*'Study Information &amp; rates'!$C$101)</f>
        <v>0</v>
      </c>
      <c r="L86" s="515">
        <f>(L49*'Study Information &amp; rates'!$C$101)</f>
        <v>0</v>
      </c>
      <c r="M86" s="515">
        <f>(M49*'Study Information &amp; rates'!$C$101)</f>
        <v>0</v>
      </c>
      <c r="N86" s="515">
        <f>(N49*'Study Information &amp; rates'!$C$101)</f>
        <v>0</v>
      </c>
      <c r="O86" s="515">
        <f>(O49*'Study Information &amp; rates'!$C$101)</f>
        <v>0</v>
      </c>
      <c r="P86" s="515">
        <f>(P49*'Study Information &amp; rates'!$C$101)</f>
        <v>0</v>
      </c>
      <c r="Q86" s="515">
        <f>(Q49*'Study Information &amp; rates'!$C$101)</f>
        <v>0</v>
      </c>
      <c r="R86" s="515">
        <f>(R49*'Study Information &amp; rates'!$C$101)</f>
        <v>0</v>
      </c>
      <c r="S86" s="515">
        <f>(S49*'Study Information &amp; rates'!$C$101)</f>
        <v>0</v>
      </c>
      <c r="T86" s="515">
        <f>(T49*'Study Information &amp; rates'!$C$101)</f>
        <v>0</v>
      </c>
      <c r="U86" s="515">
        <f>(U49*'Study Information &amp; rates'!$C$101)</f>
        <v>0</v>
      </c>
      <c r="V86" s="515">
        <f>(V49*'Study Information &amp; rates'!$C$101)</f>
        <v>0</v>
      </c>
      <c r="W86" s="515">
        <f>(W49*'Study Information &amp; rates'!$C$101)</f>
        <v>0</v>
      </c>
      <c r="X86" s="515">
        <f>(X49*'Study Information &amp; rates'!$C$101)</f>
        <v>0</v>
      </c>
      <c r="Y86" s="515">
        <f>(Y49*'Study Information &amp; rates'!$C$101)</f>
        <v>0</v>
      </c>
      <c r="Z86" s="515">
        <f>(Z49*'Study Information &amp; rates'!$C$101)</f>
        <v>0</v>
      </c>
      <c r="AA86" s="515">
        <f>(AA49*'Study Information &amp; rates'!$C$101)</f>
        <v>0</v>
      </c>
      <c r="AB86" s="515">
        <f>(AB49*'Study Information &amp; rates'!$C$101)</f>
        <v>0</v>
      </c>
      <c r="AC86" s="515">
        <f>(AC49*'Study Information &amp; rates'!$C$101)</f>
        <v>0</v>
      </c>
      <c r="AD86" s="515">
        <f>(AD49*'Study Information &amp; rates'!$C$101)</f>
        <v>0</v>
      </c>
      <c r="AE86" s="515">
        <f>(AE49*'Study Information &amp; rates'!$C$101)</f>
        <v>0</v>
      </c>
      <c r="AF86" s="515">
        <f>(AF49*'Study Information &amp; rates'!$C$101)</f>
        <v>0</v>
      </c>
      <c r="AG86" s="515">
        <f>(AG49*'Study Information &amp; rates'!$C$101)</f>
        <v>0</v>
      </c>
      <c r="AH86" s="515">
        <f>(AH49*'Study Information &amp; rates'!$C$101)</f>
        <v>0</v>
      </c>
      <c r="AI86" s="515">
        <f>(AI49*'Study Information &amp; rates'!$C$101)</f>
        <v>0</v>
      </c>
      <c r="AJ86" s="515">
        <f>(AJ49*'Study Information &amp; rates'!$C$101)</f>
        <v>0</v>
      </c>
      <c r="AK86" s="515">
        <f>(AK49*'Study Information &amp; rates'!$C$101)</f>
        <v>0</v>
      </c>
      <c r="AL86" s="515">
        <f>(AL49*'Study Information &amp; rates'!$C$101)</f>
        <v>0</v>
      </c>
      <c r="AM86" s="515">
        <f>(AM49*'Study Information &amp; rates'!$C$101)</f>
        <v>0</v>
      </c>
      <c r="AN86" s="515">
        <f>(AN49*'Study Information &amp; rates'!$C$101)</f>
        <v>0</v>
      </c>
      <c r="AO86" s="515">
        <f>(AO49*'Study Information &amp; rates'!$C$101)</f>
        <v>0</v>
      </c>
      <c r="AP86" s="515">
        <f>(AP49*'Study Information &amp; rates'!$C$101)</f>
        <v>0</v>
      </c>
      <c r="AQ86" s="473">
        <f>SUM(H86:AP86)</f>
        <v>0</v>
      </c>
      <c r="AR86" s="440">
        <f>'Set-up and other costs'!$B$18*AQ86</f>
        <v>0</v>
      </c>
      <c r="AS86" s="510"/>
      <c r="AT86" s="510"/>
      <c r="AU86" s="510"/>
      <c r="AV86" s="510"/>
      <c r="BB86" s="4">
        <f>SUMIF($BH:$BH,1,$D:$D)+SUMIF($BJ:$BJ,1,$D:$D)</f>
        <v>0</v>
      </c>
      <c r="BC86" s="275">
        <f>BB86*'Study Information &amp; rates'!$C$101</f>
        <v>0</v>
      </c>
      <c r="BD86" s="2">
        <f>IF('Study Information &amp; rates'!$B$44='Study Information &amp; rates'!$V$12,BC86*0.287,0)</f>
        <v>0</v>
      </c>
      <c r="BE86" s="2">
        <f>IF(($AR$52*'Study Information &amp; rates'!$B$27)&gt;5000,BC86*0.05,0)</f>
        <v>0</v>
      </c>
      <c r="BF86" s="2">
        <f>BC86+BD86+BE86</f>
        <v>0</v>
      </c>
      <c r="BG86" s="13" t="b">
        <f>BF86=BF49</f>
        <v>1</v>
      </c>
    </row>
    <row r="87" spans="1:59" ht="13.5" thickBot="1">
      <c r="A87" s="40" t="s">
        <v>47</v>
      </c>
      <c r="B87" s="20"/>
      <c r="C87" s="20"/>
      <c r="D87" s="20"/>
      <c r="E87" s="20"/>
      <c r="F87" s="20"/>
      <c r="G87" s="43"/>
      <c r="H87" s="521">
        <f>(H50*'Study Information &amp; rates'!$D$101)</f>
        <v>0</v>
      </c>
      <c r="I87" s="522">
        <f>(I50*'Study Information &amp; rates'!$D$101)</f>
        <v>0</v>
      </c>
      <c r="J87" s="522">
        <f>(J50*'Study Information &amp; rates'!$D$101)</f>
        <v>0</v>
      </c>
      <c r="K87" s="522">
        <f>(K50*'Study Information &amp; rates'!$D$101)</f>
        <v>0</v>
      </c>
      <c r="L87" s="522">
        <f>(L50*'Study Information &amp; rates'!$D$101)</f>
        <v>0</v>
      </c>
      <c r="M87" s="522">
        <f>(M50*'Study Information &amp; rates'!$D$101)</f>
        <v>0</v>
      </c>
      <c r="N87" s="522">
        <f>(N50*'Study Information &amp; rates'!$D$101)</f>
        <v>0</v>
      </c>
      <c r="O87" s="522">
        <f>(O50*'Study Information &amp; rates'!$D$101)</f>
        <v>0</v>
      </c>
      <c r="P87" s="522">
        <f>(P50*'Study Information &amp; rates'!$D$101)</f>
        <v>0</v>
      </c>
      <c r="Q87" s="522">
        <f>(Q50*'Study Information &amp; rates'!$D$101)</f>
        <v>0</v>
      </c>
      <c r="R87" s="522">
        <f>(R50*'Study Information &amp; rates'!$D$101)</f>
        <v>0</v>
      </c>
      <c r="S87" s="522">
        <f>(S50*'Study Information &amp; rates'!$D$101)</f>
        <v>0</v>
      </c>
      <c r="T87" s="522">
        <f>(T50*'Study Information &amp; rates'!$D$101)</f>
        <v>0</v>
      </c>
      <c r="U87" s="522">
        <f>(U50*'Study Information &amp; rates'!$D$101)</f>
        <v>0</v>
      </c>
      <c r="V87" s="522">
        <f>(V50*'Study Information &amp; rates'!$D$101)</f>
        <v>0</v>
      </c>
      <c r="W87" s="522">
        <f>(W50*'Study Information &amp; rates'!$D$101)</f>
        <v>0</v>
      </c>
      <c r="X87" s="522">
        <f>(X50*'Study Information &amp; rates'!$D$101)</f>
        <v>0</v>
      </c>
      <c r="Y87" s="522">
        <f>(Y50*'Study Information &amp; rates'!$D$101)</f>
        <v>0</v>
      </c>
      <c r="Z87" s="522">
        <f>(Z50*'Study Information &amp; rates'!$D$101)</f>
        <v>0</v>
      </c>
      <c r="AA87" s="522">
        <f>(AA50*'Study Information &amp; rates'!$D$101)</f>
        <v>0</v>
      </c>
      <c r="AB87" s="522">
        <f>(AB50*'Study Information &amp; rates'!$D$101)</f>
        <v>0</v>
      </c>
      <c r="AC87" s="522">
        <f>(AC50*'Study Information &amp; rates'!$D$101)</f>
        <v>0</v>
      </c>
      <c r="AD87" s="522">
        <f>(AD50*'Study Information &amp; rates'!$D$101)</f>
        <v>0</v>
      </c>
      <c r="AE87" s="522">
        <f>(AE50*'Study Information &amp; rates'!$D$101)</f>
        <v>0</v>
      </c>
      <c r="AF87" s="522">
        <f>(AF50*'Study Information &amp; rates'!$D$101)</f>
        <v>0</v>
      </c>
      <c r="AG87" s="522">
        <f>(AG50*'Study Information &amp; rates'!$D$101)</f>
        <v>0</v>
      </c>
      <c r="AH87" s="522">
        <f>(AH50*'Study Information &amp; rates'!$D$101)</f>
        <v>0</v>
      </c>
      <c r="AI87" s="522">
        <f>(AI50*'Study Information &amp; rates'!$D$101)</f>
        <v>0</v>
      </c>
      <c r="AJ87" s="522">
        <f>(AJ50*'Study Information &amp; rates'!$D$101)</f>
        <v>0</v>
      </c>
      <c r="AK87" s="522">
        <f>(AK50*'Study Information &amp; rates'!$D$101)</f>
        <v>0</v>
      </c>
      <c r="AL87" s="522">
        <f>(AL50*'Study Information &amp; rates'!$D$101)</f>
        <v>0</v>
      </c>
      <c r="AM87" s="522">
        <f>(AM50*'Study Information &amp; rates'!$D$101)</f>
        <v>0</v>
      </c>
      <c r="AN87" s="522">
        <f>(AN50*'Study Information &amp; rates'!$D$101)</f>
        <v>0</v>
      </c>
      <c r="AO87" s="522">
        <f>(AO50*'Study Information &amp; rates'!$D$101)</f>
        <v>0</v>
      </c>
      <c r="AP87" s="522">
        <f>(AP50*'Study Information &amp; rates'!$D$101)</f>
        <v>0</v>
      </c>
      <c r="AQ87" s="473">
        <f>SUM(H87:AP87)</f>
        <v>0</v>
      </c>
      <c r="AR87" s="440">
        <f>'Set-up and other costs'!$B$18*AQ87</f>
        <v>0</v>
      </c>
      <c r="AS87" s="510"/>
      <c r="AT87" s="510"/>
      <c r="AU87" s="510"/>
      <c r="AV87" s="510"/>
      <c r="BB87" s="4">
        <f>SUMIF($BH:$BH,1,$E:$E)+SUMIF($BJ:$BJ,1,$E:$E)</f>
        <v>0</v>
      </c>
      <c r="BC87" s="275">
        <f>BB87*'Study Information &amp; rates'!$D$101</f>
        <v>0</v>
      </c>
      <c r="BD87" s="2">
        <f>IF('Study Information &amp; rates'!$B$44='Study Information &amp; rates'!$V$12,BC87*0.287,0)</f>
        <v>0</v>
      </c>
      <c r="BE87" s="2">
        <f>IF(($AR$52*'Study Information &amp; rates'!$B$27)&gt;5000,BC87*0.05,0)</f>
        <v>0</v>
      </c>
      <c r="BF87" s="2">
        <f>BC87+BD87+BE87</f>
        <v>0</v>
      </c>
      <c r="BG87" s="13" t="b">
        <f>BF87=BF50</f>
        <v>1</v>
      </c>
    </row>
    <row r="88" spans="1:59" ht="13.5" thickBot="1">
      <c r="A88" s="44" t="s">
        <v>48</v>
      </c>
      <c r="B88" s="20"/>
      <c r="C88" s="20"/>
      <c r="D88" s="20"/>
      <c r="E88" s="20"/>
      <c r="F88" s="20"/>
      <c r="G88" s="43"/>
      <c r="H88" s="524">
        <f>(H51*'Study Information &amp; rates'!$F$101)</f>
        <v>0</v>
      </c>
      <c r="I88" s="525">
        <f>(I51*'Study Information &amp; rates'!$F$101)</f>
        <v>0</v>
      </c>
      <c r="J88" s="525">
        <f>(J51*'Study Information &amp; rates'!$F$101)</f>
        <v>0</v>
      </c>
      <c r="K88" s="525">
        <f>(K51*'Study Information &amp; rates'!$F$101)</f>
        <v>0</v>
      </c>
      <c r="L88" s="525">
        <f>(L51*'Study Information &amp; rates'!$F$101)</f>
        <v>0</v>
      </c>
      <c r="M88" s="525">
        <f>(M51*'Study Information &amp; rates'!$F$101)</f>
        <v>0</v>
      </c>
      <c r="N88" s="525">
        <f>(N51*'Study Information &amp; rates'!$F$101)</f>
        <v>0</v>
      </c>
      <c r="O88" s="525">
        <f>(O51*'Study Information &amp; rates'!$F$101)</f>
        <v>0</v>
      </c>
      <c r="P88" s="525">
        <f>(P51*'Study Information &amp; rates'!$F$101)</f>
        <v>0</v>
      </c>
      <c r="Q88" s="525">
        <f>(Q51*'Study Information &amp; rates'!$F$101)</f>
        <v>0</v>
      </c>
      <c r="R88" s="525">
        <f>(R51*'Study Information &amp; rates'!$F$101)</f>
        <v>0</v>
      </c>
      <c r="S88" s="525">
        <f>(S51*'Study Information &amp; rates'!$F$101)</f>
        <v>0</v>
      </c>
      <c r="T88" s="525">
        <f>(T51*'Study Information &amp; rates'!$F$101)</f>
        <v>0</v>
      </c>
      <c r="U88" s="525">
        <f>(U51*'Study Information &amp; rates'!$F$101)</f>
        <v>0</v>
      </c>
      <c r="V88" s="525">
        <f>(V51*'Study Information &amp; rates'!$F$101)</f>
        <v>0</v>
      </c>
      <c r="W88" s="525">
        <f>(W51*'Study Information &amp; rates'!$F$101)</f>
        <v>0</v>
      </c>
      <c r="X88" s="525">
        <f>(X51*'Study Information &amp; rates'!$F$101)</f>
        <v>0</v>
      </c>
      <c r="Y88" s="525">
        <f>(Y51*'Study Information &amp; rates'!$F$101)</f>
        <v>0</v>
      </c>
      <c r="Z88" s="525">
        <f>(Z51*'Study Information &amp; rates'!$F$101)</f>
        <v>0</v>
      </c>
      <c r="AA88" s="525">
        <f>(AA51*'Study Information &amp; rates'!$F$101)</f>
        <v>0</v>
      </c>
      <c r="AB88" s="525">
        <f>(AB51*'Study Information &amp; rates'!$F$101)</f>
        <v>0</v>
      </c>
      <c r="AC88" s="525">
        <f>(AC51*'Study Information &amp; rates'!$F$101)</f>
        <v>0</v>
      </c>
      <c r="AD88" s="525">
        <f>(AD51*'Study Information &amp; rates'!$F$101)</f>
        <v>0</v>
      </c>
      <c r="AE88" s="525">
        <f>(AE51*'Study Information &amp; rates'!$F$101)</f>
        <v>0</v>
      </c>
      <c r="AF88" s="525">
        <f>(AF51*'Study Information &amp; rates'!$F$101)</f>
        <v>0</v>
      </c>
      <c r="AG88" s="525">
        <f>(AG51*'Study Information &amp; rates'!$F$101)</f>
        <v>0</v>
      </c>
      <c r="AH88" s="525">
        <f>(AH51*'Study Information &amp; rates'!$F$101)</f>
        <v>0</v>
      </c>
      <c r="AI88" s="525">
        <f>(AI51*'Study Information &amp; rates'!$F$101)</f>
        <v>0</v>
      </c>
      <c r="AJ88" s="525">
        <f>(AJ51*'Study Information &amp; rates'!$F$101)</f>
        <v>0</v>
      </c>
      <c r="AK88" s="525">
        <f>(AK51*'Study Information &amp; rates'!$F$101)</f>
        <v>0</v>
      </c>
      <c r="AL88" s="525">
        <f>(AL51*'Study Information &amp; rates'!$F$101)</f>
        <v>0</v>
      </c>
      <c r="AM88" s="525">
        <f>(AM51*'Study Information &amp; rates'!$F$101)</f>
        <v>0</v>
      </c>
      <c r="AN88" s="525">
        <f>(AN51*'Study Information &amp; rates'!$F$101)</f>
        <v>0</v>
      </c>
      <c r="AO88" s="525">
        <f>(AO51*'Study Information &amp; rates'!$F$101)</f>
        <v>0</v>
      </c>
      <c r="AP88" s="525">
        <f>(AP51*'Study Information &amp; rates'!$F$101)</f>
        <v>0</v>
      </c>
      <c r="AQ88" s="473">
        <f>SUM(H88:AP88)</f>
        <v>0</v>
      </c>
      <c r="AR88" s="440">
        <f>'Set-up and other costs'!$B$18*AQ88</f>
        <v>0</v>
      </c>
      <c r="AS88" s="510"/>
      <c r="AT88" s="510"/>
      <c r="AU88" s="510"/>
      <c r="AV88" s="510"/>
      <c r="BB88" s="4">
        <f>SUMIF($BH:$BH,1,$F:$F)+SUMIF($BJ:$BJ,1,$F:$F)</f>
        <v>0</v>
      </c>
      <c r="BC88" s="275">
        <f>BB88*'Study Information &amp; rates'!$F$101</f>
        <v>0</v>
      </c>
      <c r="BD88" s="2">
        <f>IF('Study Information &amp; rates'!$B$44='Study Information &amp; rates'!$V$12,BC88*0.287,0)</f>
        <v>0</v>
      </c>
      <c r="BE88" s="2">
        <f>IF(($AR$52*'Study Information &amp; rates'!$B$27)&gt;5000,BC88*0.05,0)</f>
        <v>0</v>
      </c>
      <c r="BF88" s="2">
        <f>BC88+BD88+BE88</f>
        <v>0</v>
      </c>
      <c r="BG88" s="13" t="b">
        <f>BF88=BF51</f>
        <v>1</v>
      </c>
    </row>
    <row r="89" spans="1:58" ht="13.5" thickBot="1">
      <c r="A89" s="45" t="s">
        <v>49</v>
      </c>
      <c r="B89" s="46"/>
      <c r="C89" s="46"/>
      <c r="D89" s="46"/>
      <c r="E89" s="46"/>
      <c r="F89" s="46"/>
      <c r="G89" s="47"/>
      <c r="H89" s="529">
        <f>SUMPRODUCT($G$56:$G$81,H56:H81)</f>
        <v>0</v>
      </c>
      <c r="I89" s="530">
        <f>SUMPRODUCT($G$56:$G$81,I56:I81)</f>
        <v>0</v>
      </c>
      <c r="J89" s="530">
        <f>SUMPRODUCT($G$56:$G$81,J56:J81)</f>
        <v>0</v>
      </c>
      <c r="K89" s="530">
        <f>SUMPRODUCT($G$56:$G$81,K56:K81)</f>
        <v>0</v>
      </c>
      <c r="L89" s="530">
        <f>SUMPRODUCT($G$56:$G$81,L56:L81)</f>
        <v>0</v>
      </c>
      <c r="M89" s="530">
        <f>SUMPRODUCT($G$56:$G$81,M56:M81)</f>
        <v>0</v>
      </c>
      <c r="N89" s="530">
        <f>SUMPRODUCT($G$56:$G$81,N56:N81)</f>
        <v>0</v>
      </c>
      <c r="O89" s="530">
        <f>SUMPRODUCT($G$56:$G$81,O56:O81)</f>
        <v>0</v>
      </c>
      <c r="P89" s="530">
        <f>SUMPRODUCT($G$56:$G$81,P56:P81)</f>
        <v>0</v>
      </c>
      <c r="Q89" s="530">
        <f>SUMPRODUCT($G$56:$G$81,Q56:Q81)</f>
        <v>0</v>
      </c>
      <c r="R89" s="530">
        <f>SUMPRODUCT($G$56:$G$81,R56:R81)</f>
        <v>0</v>
      </c>
      <c r="S89" s="530">
        <f>SUMPRODUCT($G$56:$G$81,S56:S81)</f>
        <v>0</v>
      </c>
      <c r="T89" s="530">
        <f>SUMPRODUCT($G$56:$G$81,T56:T81)</f>
        <v>0</v>
      </c>
      <c r="U89" s="530">
        <f>SUMPRODUCT($G$56:$G$81,U56:U81)</f>
        <v>0</v>
      </c>
      <c r="V89" s="530">
        <f>SUMPRODUCT($G$56:$G$81,V56:V81)</f>
        <v>0</v>
      </c>
      <c r="W89" s="530">
        <f>SUMPRODUCT($G$56:$G$81,W56:W81)</f>
        <v>0</v>
      </c>
      <c r="X89" s="530">
        <f>SUMPRODUCT($G$56:$G$81,X56:X81)</f>
        <v>0</v>
      </c>
      <c r="Y89" s="530">
        <f>SUMPRODUCT($G$56:$G$81,Y56:Y81)</f>
        <v>0</v>
      </c>
      <c r="Z89" s="530">
        <f>SUMPRODUCT($G$56:$G$81,Z56:Z81)</f>
        <v>0</v>
      </c>
      <c r="AA89" s="530">
        <f>SUMPRODUCT($G$56:$G$81,AA56:AA81)</f>
        <v>0</v>
      </c>
      <c r="AB89" s="530">
        <f>SUMPRODUCT($G$56:$G$81,AB56:AB81)</f>
        <v>0</v>
      </c>
      <c r="AC89" s="530">
        <f>SUMPRODUCT($G$56:$G$81,AC56:AC81)</f>
        <v>0</v>
      </c>
      <c r="AD89" s="530">
        <f>SUMPRODUCT($G$56:$G$81,AD56:AD81)</f>
        <v>0</v>
      </c>
      <c r="AE89" s="530">
        <f>SUMPRODUCT($G$56:$G$81,AE56:AE81)</f>
        <v>0</v>
      </c>
      <c r="AF89" s="530">
        <f>SUMPRODUCT($G$56:$G$81,AF56:AF81)</f>
        <v>0</v>
      </c>
      <c r="AG89" s="530">
        <f>SUMPRODUCT($G$56:$G$81,AG56:AG81)</f>
        <v>0</v>
      </c>
      <c r="AH89" s="530">
        <f>SUMPRODUCT($G$56:$G$81,AH56:AH81)</f>
        <v>0</v>
      </c>
      <c r="AI89" s="530">
        <f>SUMPRODUCT($G$56:$G$81,AI56:AI81)</f>
        <v>0</v>
      </c>
      <c r="AJ89" s="530">
        <f>SUMPRODUCT($G$56:$G$81,AJ56:AJ81)</f>
        <v>0</v>
      </c>
      <c r="AK89" s="530">
        <f>SUMPRODUCT($G$56:$G$81,AK56:AK81)</f>
        <v>0</v>
      </c>
      <c r="AL89" s="530">
        <f>SUMPRODUCT($G$56:$G$81,AL56:AL81)</f>
        <v>0</v>
      </c>
      <c r="AM89" s="530">
        <f>SUMPRODUCT($G$56:$G$81,AM56:AM81)</f>
        <v>0</v>
      </c>
      <c r="AN89" s="530">
        <f>SUMPRODUCT($G$56:$G$81,AN56:AN81)</f>
        <v>0</v>
      </c>
      <c r="AO89" s="530">
        <f>SUMPRODUCT($G$56:$G$81,AO56:AO81)</f>
        <v>0</v>
      </c>
      <c r="AP89" s="530">
        <f>SUMPRODUCT($G$56:$G$81,AP56:AP81)</f>
        <v>0</v>
      </c>
      <c r="AQ89" s="473">
        <f>SUM(H89:AP89)</f>
        <v>0</v>
      </c>
      <c r="AR89" s="440">
        <f>'Set-up and other costs'!$B$18*AQ89</f>
        <v>0</v>
      </c>
      <c r="AS89" s="510"/>
      <c r="AT89" s="510"/>
      <c r="AU89" s="510"/>
      <c r="AV89" s="510"/>
      <c r="BB89" s="4">
        <f>SUMIF($BH56:$BH81,1,G56:G81)+SUMIF($BJ56:$BJ81,1,G56:G81)</f>
        <v>0</v>
      </c>
      <c r="BF89" s="2">
        <f>BB89</f>
        <v>0</v>
      </c>
    </row>
    <row r="90" spans="1:58" ht="13.5" thickBot="1">
      <c r="A90" s="553"/>
      <c r="B90" s="20"/>
      <c r="C90" s="20"/>
      <c r="D90" s="20"/>
      <c r="E90" s="20"/>
      <c r="F90" s="20"/>
      <c r="G90" s="20"/>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548"/>
      <c r="AI90" s="548"/>
      <c r="AJ90" s="548"/>
      <c r="AK90" s="548"/>
      <c r="AL90" s="548"/>
      <c r="AM90" s="548"/>
      <c r="AN90" s="548"/>
      <c r="AO90" s="548"/>
      <c r="AP90" s="548"/>
      <c r="AQ90" s="549"/>
      <c r="AR90" s="550"/>
      <c r="AS90" s="510"/>
      <c r="AT90" s="510"/>
      <c r="AU90" s="510"/>
      <c r="AV90" s="510"/>
      <c r="BB90" s="554"/>
      <c r="BF90" s="555"/>
    </row>
    <row r="91" spans="8:48" ht="13.5" hidden="1" thickBot="1">
      <c r="H91" s="510">
        <f>SUM(H85:H89)</f>
        <v>0</v>
      </c>
      <c r="I91" s="510">
        <f>SUM(I85:I89)</f>
        <v>0</v>
      </c>
      <c r="J91" s="510">
        <f>SUM(J85:J89)</f>
        <v>0</v>
      </c>
      <c r="K91" s="510">
        <f>SUM(K85:K89)</f>
        <v>0</v>
      </c>
      <c r="L91" s="510">
        <f>SUM(L85:L89)</f>
        <v>0</v>
      </c>
      <c r="M91" s="510">
        <f>SUM(M85:M89)</f>
        <v>0</v>
      </c>
      <c r="N91" s="510">
        <f>SUM(N85:N89)</f>
        <v>0</v>
      </c>
      <c r="O91" s="510">
        <f>SUM(O85:O89)</f>
        <v>0</v>
      </c>
      <c r="P91" s="510">
        <f>SUM(P85:P89)</f>
        <v>0</v>
      </c>
      <c r="Q91" s="510">
        <f>SUM(Q85:Q89)</f>
        <v>0</v>
      </c>
      <c r="R91" s="510">
        <f>SUM(R85:R89)</f>
        <v>0</v>
      </c>
      <c r="S91" s="510">
        <f>SUM(S85:S89)</f>
        <v>0</v>
      </c>
      <c r="T91" s="510">
        <f>SUM(T85:T89)</f>
        <v>0</v>
      </c>
      <c r="U91" s="510">
        <f>SUM(U85:U89)</f>
        <v>0</v>
      </c>
      <c r="V91" s="510">
        <f>SUM(V85:V89)</f>
        <v>0</v>
      </c>
      <c r="W91" s="510">
        <f>SUM(W85:W89)</f>
        <v>0</v>
      </c>
      <c r="X91" s="510">
        <f>SUM(X85:X89)</f>
        <v>0</v>
      </c>
      <c r="Y91" s="510">
        <f>SUM(Y85:Y89)</f>
        <v>0</v>
      </c>
      <c r="Z91" s="510">
        <f>SUM(Z85:Z89)</f>
        <v>0</v>
      </c>
      <c r="AA91" s="510">
        <f>SUM(AA85:AA89)</f>
        <v>0</v>
      </c>
      <c r="AB91" s="510">
        <f>SUM(AB85:AB89)</f>
        <v>0</v>
      </c>
      <c r="AC91" s="510">
        <f>SUM(AC85:AC89)</f>
        <v>0</v>
      </c>
      <c r="AD91" s="510">
        <f>SUM(AD85:AD89)</f>
        <v>0</v>
      </c>
      <c r="AE91" s="510">
        <f>SUM(AE85:AE89)</f>
        <v>0</v>
      </c>
      <c r="AF91" s="510">
        <f>SUM(AF85:AF89)</f>
        <v>0</v>
      </c>
      <c r="AG91" s="510">
        <f>SUM(AG85:AG89)</f>
        <v>0</v>
      </c>
      <c r="AH91" s="510">
        <f>SUM(AH85:AH89)</f>
        <v>0</v>
      </c>
      <c r="AI91" s="510">
        <f>SUM(AI85:AI89)</f>
        <v>0</v>
      </c>
      <c r="AJ91" s="510">
        <f>SUM(AJ85:AJ89)</f>
        <v>0</v>
      </c>
      <c r="AK91" s="510">
        <f>SUM(AK85:AK89)</f>
        <v>0</v>
      </c>
      <c r="AL91" s="510">
        <f>SUM(AL85:AL89)</f>
        <v>0</v>
      </c>
      <c r="AM91" s="510">
        <f>SUM(AM85:AM89)</f>
        <v>0</v>
      </c>
      <c r="AN91" s="510">
        <f>SUM(AN85:AN89)</f>
        <v>0</v>
      </c>
      <c r="AO91" s="510">
        <f>SUM(AO85:AO89)</f>
        <v>0</v>
      </c>
      <c r="AP91" s="510">
        <f>SUM(AP85:AP89)</f>
        <v>0</v>
      </c>
      <c r="AQ91" s="510"/>
      <c r="AR91" s="510"/>
      <c r="AS91" s="510"/>
      <c r="AT91" s="510"/>
      <c r="AU91" s="510"/>
      <c r="AV91" s="510"/>
    </row>
    <row r="92" spans="1:59" ht="13.5" thickBot="1">
      <c r="A92" s="48" t="s">
        <v>53</v>
      </c>
      <c r="B92" s="46"/>
      <c r="C92" s="46"/>
      <c r="D92" s="46"/>
      <c r="E92" s="46"/>
      <c r="F92" s="46"/>
      <c r="G92" s="47"/>
      <c r="H92" s="530">
        <f>IF('Study Information &amp; rates'!$B$44="No",SUM(H85:H89),(0.337*H91)+H91)</f>
        <v>0</v>
      </c>
      <c r="I92" s="530">
        <f>IF('Study Information &amp; rates'!$B$44="No",SUM(I85:I89),(0.337*I91)+I91)</f>
        <v>0</v>
      </c>
      <c r="J92" s="530">
        <f>IF('Study Information &amp; rates'!$B$44="No",SUM(J85:J89),(0.337*J91)+J91)</f>
        <v>0</v>
      </c>
      <c r="K92" s="530">
        <f>IF('Study Information &amp; rates'!$B$44="No",SUM(K85:K89),(0.337*K91)+K91)</f>
        <v>0</v>
      </c>
      <c r="L92" s="530">
        <f>IF('Study Information &amp; rates'!$B$44="No",SUM(L85:L89),(0.337*L91)+L91)</f>
        <v>0</v>
      </c>
      <c r="M92" s="530">
        <f>IF('Study Information &amp; rates'!$B$44="No",SUM(M85:M89),(0.337*M91)+M91)</f>
        <v>0</v>
      </c>
      <c r="N92" s="530">
        <f>IF('Study Information &amp; rates'!$B$44="No",SUM(N85:N89),(0.337*N91)+N91)</f>
        <v>0</v>
      </c>
      <c r="O92" s="530">
        <f>IF('Study Information &amp; rates'!$B$44="No",SUM(O85:O89),(0.337*O91)+O91)</f>
        <v>0</v>
      </c>
      <c r="P92" s="530">
        <f>IF('Study Information &amp; rates'!$B$44="No",SUM(P85:P89),(0.337*P91)+P91)</f>
        <v>0</v>
      </c>
      <c r="Q92" s="530">
        <f>IF('Study Information &amp; rates'!$B$44="No",SUM(Q85:Q89),(0.337*Q91)+Q91)</f>
        <v>0</v>
      </c>
      <c r="R92" s="530">
        <f>IF('Study Information &amp; rates'!$B$44="No",SUM(R85:R89),(0.337*R91)+R91)</f>
        <v>0</v>
      </c>
      <c r="S92" s="530">
        <f>IF('Study Information &amp; rates'!$B$44="No",SUM(S85:S89),(0.337*S91)+S91)</f>
        <v>0</v>
      </c>
      <c r="T92" s="530">
        <f>IF('Study Information &amp; rates'!$B$44="No",SUM(T85:T89),(0.337*T91)+T91)</f>
        <v>0</v>
      </c>
      <c r="U92" s="530">
        <f>IF('Study Information &amp; rates'!$B$44="No",SUM(U85:U89),(0.337*U91)+U91)</f>
        <v>0</v>
      </c>
      <c r="V92" s="530">
        <f>IF('Study Information &amp; rates'!$B$44="No",SUM(V85:V89),(0.337*V91)+V91)</f>
        <v>0</v>
      </c>
      <c r="W92" s="530">
        <f>IF('Study Information &amp; rates'!$B$44="No",SUM(W85:W89),(0.337*W91)+W91)</f>
        <v>0</v>
      </c>
      <c r="X92" s="530">
        <f>IF('Study Information &amp; rates'!$B$44="No",SUM(X85:X89),(0.337*X91)+X91)</f>
        <v>0</v>
      </c>
      <c r="Y92" s="530">
        <f>IF('Study Information &amp; rates'!$B$44="No",SUM(Y85:Y89),(0.337*Y91)+Y91)</f>
        <v>0</v>
      </c>
      <c r="Z92" s="530">
        <f>IF('Study Information &amp; rates'!$B$44="No",SUM(Z85:Z89),(0.337*Z91)+Z91)</f>
        <v>0</v>
      </c>
      <c r="AA92" s="530">
        <f>IF('Study Information &amp; rates'!$B$44="No",SUM(AA85:AA89),(0.337*AA91)+AA91)</f>
        <v>0</v>
      </c>
      <c r="AB92" s="530">
        <f>IF('Study Information &amp; rates'!$B$44="No",SUM(AB85:AB89),(0.337*AB91)+AB91)</f>
        <v>0</v>
      </c>
      <c r="AC92" s="530">
        <f>IF('Study Information &amp; rates'!$B$44="No",SUM(AC85:AC89),(0.337*AC91)+AC91)</f>
        <v>0</v>
      </c>
      <c r="AD92" s="530">
        <f>IF('Study Information &amp; rates'!$B$44="No",SUM(AD85:AD89),(0.337*AD91)+AD91)</f>
        <v>0</v>
      </c>
      <c r="AE92" s="530">
        <f>IF('Study Information &amp; rates'!$B$44="No",SUM(AE85:AE89),(0.337*AE91)+AE91)</f>
        <v>0</v>
      </c>
      <c r="AF92" s="530">
        <f>IF('Study Information &amp; rates'!$B$44="No",SUM(AF85:AF89),(0.337*AF91)+AF91)</f>
        <v>0</v>
      </c>
      <c r="AG92" s="530">
        <f>IF('Study Information &amp; rates'!$B$44="No",SUM(AG85:AG89),(0.337*AG91)+AG91)</f>
        <v>0</v>
      </c>
      <c r="AH92" s="530">
        <f>IF('Study Information &amp; rates'!$B$44="No",SUM(AH85:AH89),(0.337*AH91)+AH91)</f>
        <v>0</v>
      </c>
      <c r="AI92" s="530">
        <f>IF('Study Information &amp; rates'!$B$44="No",SUM(AI85:AI89),(0.337*AI91)+AI91)</f>
        <v>0</v>
      </c>
      <c r="AJ92" s="530">
        <f>IF('Study Information &amp; rates'!$B$44="No",SUM(AJ85:AJ89),(0.337*AJ91)+AJ91)</f>
        <v>0</v>
      </c>
      <c r="AK92" s="530">
        <f>IF('Study Information &amp; rates'!$B$44="No",SUM(AK85:AK89),(0.337*AK91)+AK91)</f>
        <v>0</v>
      </c>
      <c r="AL92" s="530">
        <f>IF('Study Information &amp; rates'!$B$44="No",SUM(AL85:AL89),(0.337*AL91)+AL91)</f>
        <v>0</v>
      </c>
      <c r="AM92" s="530">
        <f>IF('Study Information &amp; rates'!$B$44="No",SUM(AM85:AM89),(0.337*AM91)+AM91)</f>
        <v>0</v>
      </c>
      <c r="AN92" s="530">
        <f>IF('Study Information &amp; rates'!$B$44="No",SUM(AN85:AN89),(0.337*AN91)+AN91)</f>
        <v>0</v>
      </c>
      <c r="AO92" s="530">
        <f>IF('Study Information &amp; rates'!$B$44="No",SUM(AO85:AO89),(0.337*AO91)+AO91)</f>
        <v>0</v>
      </c>
      <c r="AP92" s="530">
        <f>IF('Study Information &amp; rates'!$B$44="No",SUM(AP85:AP89),(0.337*AP91)+AP91)</f>
        <v>0</v>
      </c>
      <c r="AQ92" s="545">
        <f>SUM(H92:AP92)</f>
        <v>0</v>
      </c>
      <c r="AR92" s="440">
        <f>'Set-up and other costs'!$B$18*AQ92</f>
        <v>0</v>
      </c>
      <c r="AS92" s="510"/>
      <c r="AT92" s="510"/>
      <c r="AU92" s="510"/>
      <c r="AV92" s="510"/>
      <c r="BG92" s="2">
        <f>SUM(BF85:BF89)</f>
        <v>0</v>
      </c>
    </row>
  </sheetData>
  <sheetProtection password="9437" sheet="1" objects="1" scenarios="1"/>
  <conditionalFormatting sqref="AW51:AZ51">
    <cfRule type="containsText" dxfId="72" operator="containsText" text="False" priority="5">
      <formula>NOT(ISERROR(SEARCH("False",AW51)))</formula>
    </cfRule>
    <cfRule type="containsText" dxfId="73" operator="containsText" text="True" priority="6">
      <formula>NOT(ISERROR(SEARCH("True",AW51)))</formula>
    </cfRule>
  </conditionalFormatting>
  <conditionalFormatting sqref="B2">
    <cfRule type="containsText" dxfId="74" operator="containsText" text="False" priority="3">
      <formula>NOT(ISERROR(SEARCH("False",B2)))</formula>
    </cfRule>
    <cfRule type="containsText" dxfId="75" operator="containsText" text="True" priority="4">
      <formula>NOT(ISERROR(SEARCH("True",B2)))</formula>
    </cfRule>
  </conditionalFormatting>
  <conditionalFormatting sqref="BG85:BG88">
    <cfRule type="containsText" dxfId="76" operator="containsText" text="False" priority="1">
      <formula>NOT(ISERROR(SEARCH("False",BG85)))</formula>
    </cfRule>
    <cfRule type="containsText" dxfId="77" operator="containsText" text="True" priority="2">
      <formula>NOT(ISERROR(SEARCH("True",BG85)))</formula>
    </cfRule>
  </conditionalFormatting>
  <dataValidations count="7">
    <dataValidation type="whole" operator="greaterThan" allowBlank="1" showInputMessage="1" showErrorMessage="1" sqref="H56:AQ56 H8:AQ46">
      <formula1>0</formula1>
    </dataValidation>
    <dataValidation type="list" allowBlank="1" showInputMessage="1" sqref="A56:A81">
      <formula1>CostList</formula1>
    </dataValidation>
    <dataValidation type="list" allowBlank="1" showInputMessage="1" showErrorMessage="1" sqref="B56:B81 B8:B46">
      <formula1>AcCord</formula1>
    </dataValidation>
    <dataValidation type="list" allowBlank="1" showInputMessage="1" showErrorMessage="1" sqref="C56:C81">
      <formula1>Alan2</formula1>
    </dataValidation>
    <dataValidation type="list" allowBlank="1" showInputMessage="1" sqref="A8:A46">
      <formula1>'[1]#REF'!#REF!</formula1>
    </dataValidation>
    <dataValidation type="list" allowBlank="1" showInputMessage="1" showErrorMessage="1" sqref="B8:B46">
      <formula1>'Look Up'!A5:A9</formula1>
    </dataValidation>
    <dataValidation type="list" allowBlank="1" showInputMessage="1" showErrorMessage="1" sqref="B56:B81">
      <formula1>'Look Up'!A55:A59</formula1>
    </dataValidation>
  </dataValidations>
  <pageMargins left="0.7" right="0.7" top="0.75" bottom="0.75" header="0.3" footer="0.3"/>
  <pageSetup paperSize="8" scale="60" orientation="landscape"/>
  <headerFooter scaleWithDoc="1" alignWithMargins="0" differentFirst="0" differentOddEven="0"/>
  <extLst/>
</worksheet>
</file>

<file path=xl/worksheets/sheet1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7">
    <tabColor rgb="FFFF0000"/>
  </sheetPr>
  <dimension ref="A1:BU92"/>
  <sheetViews>
    <sheetView topLeftCell="A1" zoomScale="80" view="normal" workbookViewId="0">
      <pane xSplit="1" ySplit="7" topLeftCell="B8" activePane="bottomRight" state="frozen"/>
      <selection pane="bottomRight" activeCell="C4" sqref="C4"/>
    </sheetView>
  </sheetViews>
  <sheetFormatPr defaultColWidth="9.1796875" defaultRowHeight="13"/>
  <cols>
    <col min="1" max="1" width="52.140625" style="6" customWidth="1"/>
    <col min="2" max="2" width="19.84765625" style="6" customWidth="1"/>
    <col min="3" max="3" width="12.140625" style="6" customWidth="1"/>
    <col min="4" max="4" width="11.7109375" style="6" customWidth="1"/>
    <col min="5" max="5" width="11.27734375" style="6" customWidth="1"/>
    <col min="6" max="6" width="10.84765625" style="6" customWidth="1"/>
    <col min="7" max="7" width="18.140625" style="6" customWidth="1"/>
    <col min="8" max="8" width="13.84765625" style="6" customWidth="1"/>
    <col min="9" max="43" width="11.27734375" style="6" customWidth="1"/>
    <col min="44" max="44" width="15.27734375" style="6" customWidth="1"/>
    <col min="45" max="47" width="12.84765625" style="6" customWidth="1"/>
    <col min="48" max="48" width="12.41796875" style="6" customWidth="1"/>
    <col min="49" max="49" width="9.27734375" style="6" customWidth="1"/>
    <col min="50" max="50" width="9.140625" style="6" customWidth="1"/>
    <col min="51" max="51" width="9.7109375" style="6" customWidth="1"/>
    <col min="52" max="52" width="9.140625" style="6" customWidth="1"/>
    <col min="53" max="73" width="9.140625" style="6" hidden="1" customWidth="1"/>
    <col min="74" max="16384" width="9.140625" style="6" customWidth="1"/>
  </cols>
  <sheetData>
    <row r="1" spans="1:48" ht="26.25" customHeight="1">
      <c r="A1" s="25" t="s">
        <v>52</v>
      </c>
      <c r="B1" s="182"/>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row>
    <row r="2" spans="1:48" ht="20.25" customHeight="1">
      <c r="A2" s="24">
        <f>AV47+AV82</f>
        <v>0</v>
      </c>
      <c r="B2" s="13" t="b">
        <f>A2=AR92</f>
        <v>1</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row>
    <row r="3" spans="1:48" ht="18.75" customHeight="1">
      <c r="A3" s="50">
        <f>H92</f>
        <v>0</v>
      </c>
      <c r="B3" s="184" t="s">
        <v>45</v>
      </c>
      <c r="C3" s="185"/>
      <c r="D3" s="185"/>
      <c r="E3" s="185"/>
      <c r="F3" s="185"/>
      <c r="G3" s="186"/>
      <c r="H3" s="185"/>
      <c r="I3" s="185"/>
      <c r="J3" s="185"/>
      <c r="K3" s="183"/>
      <c r="L3" s="183"/>
      <c r="M3" s="185"/>
      <c r="N3" s="185"/>
      <c r="O3" s="183"/>
      <c r="P3" s="183"/>
      <c r="Q3" s="183"/>
      <c r="R3" s="183"/>
      <c r="S3" s="183"/>
      <c r="T3" s="183"/>
      <c r="U3" s="183"/>
      <c r="V3" s="183"/>
      <c r="W3" s="183"/>
      <c r="X3" s="183"/>
      <c r="Y3" s="183"/>
      <c r="Z3" s="183"/>
      <c r="AA3" s="183"/>
      <c r="AB3" s="183"/>
      <c r="AC3" s="183"/>
      <c r="AD3" s="183"/>
      <c r="AE3" s="183"/>
      <c r="AF3" s="185"/>
      <c r="AG3" s="185"/>
      <c r="AH3" s="183"/>
      <c r="AI3" s="183"/>
      <c r="AJ3" s="183"/>
      <c r="AK3" s="183"/>
      <c r="AL3" s="183"/>
      <c r="AM3" s="183"/>
      <c r="AN3" s="183"/>
      <c r="AO3" s="183"/>
      <c r="AP3" s="183"/>
      <c r="AQ3" s="183"/>
      <c r="AR3" s="183"/>
      <c r="AS3" s="183"/>
      <c r="AT3" s="183"/>
      <c r="AU3" s="183"/>
      <c r="AV3" s="183"/>
    </row>
    <row r="4" spans="1:33" s="183" customFormat="1" ht="27" customHeight="1">
      <c r="A4" s="705" t="s">
        <v>2291</v>
      </c>
      <c r="B4" s="706">
        <f>SUMIFS(AU8:AU46,B8:B46,"Research Cost A")+SUMIFS(AU56:AU82,B56:B82,"Research Cost A")+SUMIFS(AU8:AU46,B8:B46,"Research Cost B")+SUMIFS(AU56:AU82,B56:B82,"Research Cost B")</f>
        <v>0</v>
      </c>
      <c r="D4" s="185"/>
      <c r="E4" s="185"/>
      <c r="F4" s="185"/>
      <c r="G4" s="186"/>
      <c r="H4" s="185"/>
      <c r="I4" s="185"/>
      <c r="J4" s="185"/>
      <c r="M4" s="185"/>
      <c r="N4" s="185"/>
      <c r="AF4" s="185"/>
      <c r="AG4" s="185"/>
    </row>
    <row r="5" spans="1:48" ht="28.5" customHeight="1">
      <c r="A5" s="22" t="s">
        <v>23</v>
      </c>
      <c r="B5" s="187"/>
      <c r="C5" s="185"/>
      <c r="D5" s="185"/>
      <c r="E5" s="185"/>
      <c r="F5" s="185"/>
      <c r="G5" s="188"/>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3:42">
      <c r="C6" s="7"/>
      <c r="D6" s="7"/>
      <c r="E6" s="7"/>
      <c r="F6" s="7"/>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row>
    <row r="7" spans="1:72" s="11" customFormat="1" ht="39">
      <c r="A7" s="453" t="s">
        <v>0</v>
      </c>
      <c r="B7" s="430" t="s">
        <v>2059</v>
      </c>
      <c r="C7" s="430" t="s">
        <v>1968</v>
      </c>
      <c r="D7" s="430" t="s">
        <v>1969</v>
      </c>
      <c r="E7" s="430" t="s">
        <v>9</v>
      </c>
      <c r="F7" s="430" t="s">
        <v>8</v>
      </c>
      <c r="G7" s="546" t="s">
        <v>2</v>
      </c>
      <c r="H7" s="430" t="s">
        <v>58</v>
      </c>
      <c r="I7" s="430" t="s">
        <v>56</v>
      </c>
      <c r="J7" s="430" t="s">
        <v>15</v>
      </c>
      <c r="K7" s="430" t="s">
        <v>16</v>
      </c>
      <c r="L7" s="430" t="s">
        <v>57</v>
      </c>
      <c r="M7" s="430" t="s">
        <v>17</v>
      </c>
      <c r="N7" s="430" t="s">
        <v>18</v>
      </c>
      <c r="O7" s="430" t="s">
        <v>39</v>
      </c>
      <c r="P7" s="430" t="s">
        <v>61</v>
      </c>
      <c r="Q7" s="430" t="s">
        <v>1860</v>
      </c>
      <c r="R7" s="430" t="s">
        <v>1861</v>
      </c>
      <c r="S7" s="430" t="s">
        <v>1862</v>
      </c>
      <c r="T7" s="430" t="s">
        <v>1863</v>
      </c>
      <c r="U7" s="430" t="s">
        <v>1864</v>
      </c>
      <c r="V7" s="430" t="s">
        <v>1865</v>
      </c>
      <c r="W7" s="430" t="s">
        <v>1866</v>
      </c>
      <c r="X7" s="430" t="s">
        <v>1867</v>
      </c>
      <c r="Y7" s="430" t="s">
        <v>1868</v>
      </c>
      <c r="Z7" s="430" t="s">
        <v>1869</v>
      </c>
      <c r="AA7" s="430" t="s">
        <v>1870</v>
      </c>
      <c r="AB7" s="430" t="s">
        <v>1902</v>
      </c>
      <c r="AC7" s="430" t="s">
        <v>1903</v>
      </c>
      <c r="AD7" s="430" t="s">
        <v>1904</v>
      </c>
      <c r="AE7" s="430" t="s">
        <v>1948</v>
      </c>
      <c r="AF7" s="430" t="s">
        <v>1949</v>
      </c>
      <c r="AG7" s="430" t="s">
        <v>1950</v>
      </c>
      <c r="AH7" s="430" t="s">
        <v>1951</v>
      </c>
      <c r="AI7" s="430" t="s">
        <v>1952</v>
      </c>
      <c r="AJ7" s="430" t="s">
        <v>1953</v>
      </c>
      <c r="AK7" s="430" t="s">
        <v>1954</v>
      </c>
      <c r="AL7" s="430" t="s">
        <v>1955</v>
      </c>
      <c r="AM7" s="430" t="s">
        <v>1956</v>
      </c>
      <c r="AN7" s="430" t="s">
        <v>1957</v>
      </c>
      <c r="AO7" s="430" t="s">
        <v>1958</v>
      </c>
      <c r="AP7" s="430" t="s">
        <v>1959</v>
      </c>
      <c r="AQ7" s="434"/>
      <c r="AR7" s="439" t="s">
        <v>3</v>
      </c>
      <c r="AS7" s="439" t="s">
        <v>5</v>
      </c>
      <c r="AT7" s="439" t="s">
        <v>1852</v>
      </c>
      <c r="AU7" s="439" t="s">
        <v>2251</v>
      </c>
      <c r="AV7" s="439" t="s">
        <v>2252</v>
      </c>
      <c r="BC7" s="9" t="s">
        <v>3</v>
      </c>
      <c r="BD7" s="9" t="s">
        <v>5</v>
      </c>
      <c r="BE7" s="9" t="s">
        <v>1852</v>
      </c>
      <c r="BF7" s="9" t="s">
        <v>4</v>
      </c>
      <c r="BG7" s="11" t="s">
        <v>1983</v>
      </c>
      <c r="BH7" s="11" t="s">
        <v>2021</v>
      </c>
      <c r="BI7" s="11" t="s">
        <v>2022</v>
      </c>
      <c r="BJ7" s="11" t="s">
        <v>1984</v>
      </c>
      <c r="BL7" s="11" t="s">
        <v>1968</v>
      </c>
      <c r="BM7" s="11" t="s">
        <v>1969</v>
      </c>
      <c r="BN7" s="11" t="s">
        <v>9</v>
      </c>
      <c r="BO7" s="11" t="s">
        <v>8</v>
      </c>
      <c r="BQ7" s="11" t="s">
        <v>1968</v>
      </c>
      <c r="BR7" s="11" t="s">
        <v>1969</v>
      </c>
      <c r="BS7" s="11" t="s">
        <v>9</v>
      </c>
      <c r="BT7" s="11" t="s">
        <v>8</v>
      </c>
    </row>
    <row r="8" spans="1:72">
      <c r="A8" s="8"/>
      <c r="B8" s="8"/>
      <c r="C8" s="326"/>
      <c r="D8" s="326"/>
      <c r="E8" s="326"/>
      <c r="F8" s="326"/>
      <c r="G8" s="532">
        <f>IF(ISERROR((C8*'Study Information &amp; rates'!$B$101+D8*'Study Information &amp; rates'!$C$101+E8*'Study Information &amp; rates'!$D$101+F8*'Study Information &amp; rates'!$F$101)),0,(C8*'Study Information &amp; rates'!$B$101+D8*'Study Information &amp; rates'!$C$101+E8*'Study Information &amp; rates'!$D$101+F8*'Study Information &amp; rates'!$F$101))</f>
        <v>0</v>
      </c>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428"/>
      <c r="AR8" s="440">
        <f>(SUM(H8:AP8))*G8</f>
        <v>0</v>
      </c>
      <c r="AS8" s="440">
        <f>IF('Study Information &amp; rates'!$B$44="Yes",AR8*0.287,0)</f>
        <v>0</v>
      </c>
      <c r="AT8" s="440">
        <f>IF('Study Information &amp; rates'!$B$44="No",0,AR8*0.05)</f>
        <v>0</v>
      </c>
      <c r="AU8" s="440">
        <f>AR8+AS8+AT8</f>
        <v>0</v>
      </c>
      <c r="AV8" s="440">
        <f>'Set-up and other costs'!$B$18*AU8</f>
        <v>0</v>
      </c>
      <c r="BC8" s="2">
        <f>H8*G8</f>
        <v>0</v>
      </c>
      <c r="BD8" s="2">
        <f>IF('Study Information &amp; rates'!$B$44='Study Information &amp; rates'!$V$12,BC8*0.287,0)</f>
        <v>0</v>
      </c>
      <c r="BE8" s="2">
        <f>IF((Reconciliation!$C$15)&gt;5000,BC8*0.05,0)</f>
        <v>0</v>
      </c>
      <c r="BF8" s="2">
        <f>BC8+BD8+BE8</f>
        <v>0</v>
      </c>
      <c r="BG8" s="6" t="b">
        <f>IF($B8='Look Up'!$A$5,$H8)</f>
        <v>0</v>
      </c>
      <c r="BH8" s="6" t="b">
        <f>IF($B8='Look Up'!$A$6,$H8)</f>
        <v>0</v>
      </c>
      <c r="BI8" s="6" t="b">
        <f>IF($B8='Look Up'!$A$7,$H8)</f>
        <v>0</v>
      </c>
      <c r="BJ8" s="6" t="b">
        <f>IF($B8='Look Up'!$A$7,$H8)</f>
        <v>0</v>
      </c>
      <c r="BL8" s="6">
        <f>IF($B8='Look Up'!$A$6,$C8*$H8,0)+IF($B8='Look Up'!$A$7,$C8*$H8,0)</f>
        <v>0</v>
      </c>
      <c r="BM8" s="6">
        <f>IF($B8='Look Up'!$A$6,$D8*$H8,0)+IF($B8='Look Up'!$A$7,$D8*$H8,0)</f>
        <v>0</v>
      </c>
      <c r="BN8" s="6">
        <f>IF($B8='Look Up'!$A$6,$E8*$H8,0)+IF($B8='Look Up'!$A$7,$E8*$H8,0)</f>
        <v>0</v>
      </c>
      <c r="BO8" s="6">
        <f>IF($B8='Look Up'!$A$6,$F8*$H8,0)+IF($B8='Look Up'!$A$7,$F8*$H8,0)</f>
        <v>0</v>
      </c>
      <c r="BQ8" s="6">
        <f>$C8*'Study Information &amp; rates'!$B$101*IF('Study Information &amp; rates'!$B$44='Study Information &amp; rates'!$V$12,(SUM($H8:$AP8)*1.287),(SUM($H8:$AP8)))</f>
        <v>0</v>
      </c>
      <c r="BR8" s="6">
        <f>$D8*'Study Information &amp; rates'!$C$101*IF('Study Information &amp; rates'!$B$44='Study Information &amp; rates'!$V$12,(SUM($H8:$AP8)*1.287),(SUM($H8:$AP8)))</f>
        <v>0</v>
      </c>
      <c r="BS8" s="6">
        <f>$E8*'Study Information &amp; rates'!$D$101*IF('Study Information &amp; rates'!$B$44='Study Information &amp; rates'!$V$12,(SUM($H8:$AP8)*1.287),(SUM($H8:$AP8)))</f>
        <v>0</v>
      </c>
      <c r="BT8" s="6">
        <f>$F8*'Study Information &amp; rates'!$F$101*IF('Study Information &amp; rates'!$B$44='Study Information &amp; rates'!$V$12,(SUM($H8:$AP8)*1.287),(SUM($H8:$AP8)))</f>
        <v>0</v>
      </c>
    </row>
    <row r="9" spans="1:72">
      <c r="A9" s="8"/>
      <c r="B9" s="8"/>
      <c r="C9" s="326"/>
      <c r="D9" s="326"/>
      <c r="E9" s="326"/>
      <c r="F9" s="326"/>
      <c r="G9" s="532">
        <f>IF(ISERROR((C9*'Study Information &amp; rates'!$B$101+D9*'Study Information &amp; rates'!$C$101+E9*'Study Information &amp; rates'!$D$101+F9*'Study Information &amp; rates'!$F$101)),0,(C9*'Study Information &amp; rates'!$B$101+D9*'Study Information &amp; rates'!$C$101+E9*'Study Information &amp; rates'!$D$101+F9*'Study Information &amp; rates'!$F$101))</f>
        <v>0</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428"/>
      <c r="AR9" s="440">
        <f>(SUM(H9:AP9))*G9</f>
        <v>0</v>
      </c>
      <c r="AS9" s="440">
        <f>IF('Study Information &amp; rates'!$B$44="Yes",AR9*0.287,0)</f>
        <v>0</v>
      </c>
      <c r="AT9" s="440">
        <f>IF('Study Information &amp; rates'!$B$44="No",0,AR9*0.05)</f>
        <v>0</v>
      </c>
      <c r="AU9" s="440">
        <f>AR9+AS9+AT9</f>
        <v>0</v>
      </c>
      <c r="AV9" s="440">
        <f>'Set-up and other costs'!$B$18*AU9</f>
        <v>0</v>
      </c>
      <c r="BC9" s="2">
        <f>H9*G9</f>
        <v>0</v>
      </c>
      <c r="BD9" s="2">
        <f>IF('Study Information &amp; rates'!$B$44='Study Information &amp; rates'!$V$12,BC9*0.287,0)</f>
        <v>0</v>
      </c>
      <c r="BE9" s="2">
        <f>IF((Reconciliation!$C$15)&gt;5000,BC9*0.05,0)</f>
        <v>0</v>
      </c>
      <c r="BF9" s="2">
        <f>BC9+BD9+BE9</f>
        <v>0</v>
      </c>
      <c r="BG9" s="6" t="b">
        <f>IF($B9='Look Up'!$A$5,$H9)</f>
        <v>0</v>
      </c>
      <c r="BH9" s="6" t="b">
        <f>IF($B9='Look Up'!$A$6,$H9)</f>
        <v>0</v>
      </c>
      <c r="BI9" s="6" t="b">
        <f>IF($B9='Look Up'!$A$7,$H9)</f>
        <v>0</v>
      </c>
      <c r="BJ9" s="6" t="b">
        <f>IF($B9='Look Up'!$A$7,$H9)</f>
        <v>0</v>
      </c>
      <c r="BL9" s="6">
        <f>IF($B9='Look Up'!$A$6,$C9*$H9,0)+IF($B9='Look Up'!$A$7,$C9*$H9,0)</f>
        <v>0</v>
      </c>
      <c r="BM9" s="6">
        <f>IF($B9='Look Up'!$A$6,$D9*$H9,0)+IF($B9='Look Up'!$A$7,$D9*$H9,0)</f>
        <v>0</v>
      </c>
      <c r="BN9" s="6">
        <f>IF($B9='Look Up'!$A$6,$E9*$H9,0)+IF($B9='Look Up'!$A$7,$E9*$H9,0)</f>
        <v>0</v>
      </c>
      <c r="BO9" s="6">
        <f>IF($B9='Look Up'!$A$6,$F9*$H9,0)+IF($B9='Look Up'!$A$7,$F9*$H9,0)</f>
        <v>0</v>
      </c>
      <c r="BQ9" s="6">
        <f>$C9*'Study Information &amp; rates'!$B$101*IF('Study Information &amp; rates'!$B$44='Study Information &amp; rates'!$V$12,(SUM($H9:$AP9)*1.287),(SUM($H9:$AP9)))</f>
        <v>0</v>
      </c>
      <c r="BR9" s="6">
        <f>$D9*'Study Information &amp; rates'!$C$101*IF('Study Information &amp; rates'!$B$44='Study Information &amp; rates'!$V$12,(SUM($H9:$AP9)*1.287),(SUM($H9:$AP9)))</f>
        <v>0</v>
      </c>
      <c r="BS9" s="6">
        <f>$E9*'Study Information &amp; rates'!$D$101*IF('Study Information &amp; rates'!$B$44='Study Information &amp; rates'!$V$12,(SUM($H9:$AP9)*1.287),(SUM($H9:$AP9)))</f>
        <v>0</v>
      </c>
      <c r="BT9" s="6">
        <f>$F9*'Study Information &amp; rates'!$F$101*IF('Study Information &amp; rates'!$B$44='Study Information &amp; rates'!$V$12,(SUM($H9:$AP9)*1.287),(SUM($H9:$AP9)))</f>
        <v>0</v>
      </c>
    </row>
    <row r="10" spans="1:72">
      <c r="A10" s="8"/>
      <c r="B10" s="8"/>
      <c r="C10" s="326"/>
      <c r="D10" s="326"/>
      <c r="E10" s="326"/>
      <c r="F10" s="326"/>
      <c r="G10" s="532">
        <f>IF(ISERROR((C10*'Study Information &amp; rates'!$B$101+D10*'Study Information &amp; rates'!$C$101+E10*'Study Information &amp; rates'!$D$101+F10*'Study Information &amp; rates'!$F$101)),0,(C10*'Study Information &amp; rates'!$B$101+D10*'Study Information &amp; rates'!$C$101+E10*'Study Information &amp; rates'!$D$101+F10*'Study Information &amp; rates'!$F$101))</f>
        <v>0</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428"/>
      <c r="AR10" s="440">
        <f>(SUM(H10:AP10))*G10</f>
        <v>0</v>
      </c>
      <c r="AS10" s="440">
        <f>IF('Study Information &amp; rates'!$B$44="Yes",AR10*0.287,0)</f>
        <v>0</v>
      </c>
      <c r="AT10" s="440">
        <f>IF('Study Information &amp; rates'!$B$44="No",0,AR10*0.05)</f>
        <v>0</v>
      </c>
      <c r="AU10" s="440">
        <f>AR10+AS10+AT10</f>
        <v>0</v>
      </c>
      <c r="AV10" s="440">
        <f>'Set-up and other costs'!$B$18*AU10</f>
        <v>0</v>
      </c>
      <c r="BC10" s="2">
        <f>H10*G10</f>
        <v>0</v>
      </c>
      <c r="BD10" s="2">
        <f>IF('Study Information &amp; rates'!$B$44='Study Information &amp; rates'!$V$12,BC10*0.287,0)</f>
        <v>0</v>
      </c>
      <c r="BE10" s="2">
        <f>IF((Reconciliation!$C$15)&gt;5000,BC10*0.05,0)</f>
        <v>0</v>
      </c>
      <c r="BF10" s="2">
        <f>BC10+BD10+BE10</f>
        <v>0</v>
      </c>
      <c r="BG10" s="6" t="b">
        <f>IF($B10='Look Up'!$A$5,$H10)</f>
        <v>0</v>
      </c>
      <c r="BH10" s="6" t="b">
        <f>IF($B10='Look Up'!$A$6,$H10)</f>
        <v>0</v>
      </c>
      <c r="BI10" s="6" t="b">
        <f>IF($B10='Look Up'!$A$7,$H10)</f>
        <v>0</v>
      </c>
      <c r="BJ10" s="6" t="b">
        <f>IF($B10='Look Up'!$A$7,$H10)</f>
        <v>0</v>
      </c>
      <c r="BL10" s="6">
        <f>IF($B10='Look Up'!$A$6,$C10*$H10,0)+IF($B10='Look Up'!$A$7,$C10*$H10,0)</f>
        <v>0</v>
      </c>
      <c r="BM10" s="6">
        <f>IF($B10='Look Up'!$A$6,$D10*$H10,0)+IF($B10='Look Up'!$A$7,$D10*$H10,0)</f>
        <v>0</v>
      </c>
      <c r="BN10" s="6">
        <f>IF($B10='Look Up'!$A$6,$E10*$H10,0)+IF($B10='Look Up'!$A$7,$E10*$H10,0)</f>
        <v>0</v>
      </c>
      <c r="BO10" s="6">
        <f>IF($B10='Look Up'!$A$6,$F10*$H10,0)+IF($B10='Look Up'!$A$7,$F10*$H10,0)</f>
        <v>0</v>
      </c>
      <c r="BQ10" s="6">
        <f>$C10*'Study Information &amp; rates'!$B$101*IF('Study Information &amp; rates'!$B$44='Study Information &amp; rates'!$V$12,(SUM($H10:$AP10)*1.287),(SUM($H10:$AP10)))</f>
        <v>0</v>
      </c>
      <c r="BR10" s="6">
        <f>$D10*'Study Information &amp; rates'!$C$101*IF('Study Information &amp; rates'!$B$44='Study Information &amp; rates'!$V$12,(SUM($H10:$AP10)*1.287),(SUM($H10:$AP10)))</f>
        <v>0</v>
      </c>
      <c r="BS10" s="6">
        <f>$E10*'Study Information &amp; rates'!$D$101*IF('Study Information &amp; rates'!$B$44='Study Information &amp; rates'!$V$12,(SUM($H10:$AP10)*1.287),(SUM($H10:$AP10)))</f>
        <v>0</v>
      </c>
      <c r="BT10" s="6">
        <f>$F10*'Study Information &amp; rates'!$F$101*IF('Study Information &amp; rates'!$B$44='Study Information &amp; rates'!$V$12,(SUM($H10:$AP10)*1.287),(SUM($H10:$AP10)))</f>
        <v>0</v>
      </c>
    </row>
    <row r="11" spans="1:72">
      <c r="A11" s="8"/>
      <c r="B11" s="8"/>
      <c r="C11" s="326"/>
      <c r="D11" s="326"/>
      <c r="E11" s="326"/>
      <c r="F11" s="326"/>
      <c r="G11" s="532">
        <f>IF(ISERROR((C11*'Study Information &amp; rates'!$B$101+D11*'Study Information &amp; rates'!$C$101+E11*'Study Information &amp; rates'!$D$101+F11*'Study Information &amp; rates'!$F$101)),0,(C11*'Study Information &amp; rates'!$B$101+D11*'Study Information &amp; rates'!$C$101+E11*'Study Information &amp; rates'!$D$101+F11*'Study Information &amp; rates'!$F$101))</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428"/>
      <c r="AR11" s="440">
        <f>(SUM(H11:AP11))*G11</f>
        <v>0</v>
      </c>
      <c r="AS11" s="440">
        <f>IF('Study Information &amp; rates'!$B$44="Yes",AR11*0.287,0)</f>
        <v>0</v>
      </c>
      <c r="AT11" s="440">
        <f>IF('Study Information &amp; rates'!$B$44="No",0,AR11*0.05)</f>
        <v>0</v>
      </c>
      <c r="AU11" s="440">
        <f>AR11+AS11+AT11</f>
        <v>0</v>
      </c>
      <c r="AV11" s="440">
        <f>'Set-up and other costs'!$B$18*AU11</f>
        <v>0</v>
      </c>
      <c r="BC11" s="2">
        <f>H11*G11</f>
        <v>0</v>
      </c>
      <c r="BD11" s="2">
        <f>IF('Study Information &amp; rates'!$B$44='Study Information &amp; rates'!$V$12,BC11*0.287,0)</f>
        <v>0</v>
      </c>
      <c r="BE11" s="2">
        <f>IF((Reconciliation!$C$15)&gt;5000,BC11*0.05,0)</f>
        <v>0</v>
      </c>
      <c r="BF11" s="2">
        <f>BC11+BD11+BE11</f>
        <v>0</v>
      </c>
      <c r="BG11" s="6" t="b">
        <f>IF($B11='Look Up'!$A$5,$H11)</f>
        <v>0</v>
      </c>
      <c r="BH11" s="6" t="b">
        <f>IF($B11='Look Up'!$A$6,$H11)</f>
        <v>0</v>
      </c>
      <c r="BI11" s="6" t="b">
        <f>IF($B11='Look Up'!$A$7,$H11)</f>
        <v>0</v>
      </c>
      <c r="BJ11" s="6" t="b">
        <f>IF($B11='Look Up'!$A$7,$H11)</f>
        <v>0</v>
      </c>
      <c r="BL11" s="6">
        <f>IF($B11='Look Up'!$A$6,$C11*$H11,0)+IF($B11='Look Up'!$A$7,$C11*$H11,0)</f>
        <v>0</v>
      </c>
      <c r="BM11" s="6">
        <f>IF($B11='Look Up'!$A$6,$D11*$H11,0)+IF($B11='Look Up'!$A$7,$D11*$H11,0)</f>
        <v>0</v>
      </c>
      <c r="BN11" s="6">
        <f>IF($B11='Look Up'!$A$6,$E11*$H11,0)+IF($B11='Look Up'!$A$7,$E11*$H11,0)</f>
        <v>0</v>
      </c>
      <c r="BO11" s="6">
        <f>IF($B11='Look Up'!$A$6,$F11*$H11,0)+IF($B11='Look Up'!$A$7,$F11*$H11,0)</f>
        <v>0</v>
      </c>
      <c r="BQ11" s="6">
        <f>$C11*'Study Information &amp; rates'!$B$101*IF('Study Information &amp; rates'!$B$44='Study Information &amp; rates'!$V$12,(SUM($H11:$AP11)*1.287),(SUM($H11:$AP11)))</f>
        <v>0</v>
      </c>
      <c r="BR11" s="6">
        <f>$D11*'Study Information &amp; rates'!$C$101*IF('Study Information &amp; rates'!$B$44='Study Information &amp; rates'!$V$12,(SUM($H11:$AP11)*1.287),(SUM($H11:$AP11)))</f>
        <v>0</v>
      </c>
      <c r="BS11" s="6">
        <f>$E11*'Study Information &amp; rates'!$D$101*IF('Study Information &amp; rates'!$B$44='Study Information &amp; rates'!$V$12,(SUM($H11:$AP11)*1.287),(SUM($H11:$AP11)))</f>
        <v>0</v>
      </c>
      <c r="BT11" s="6">
        <f>$F11*'Study Information &amp; rates'!$F$101*IF('Study Information &amp; rates'!$B$44='Study Information &amp; rates'!$V$12,(SUM($H11:$AP11)*1.287),(SUM($H11:$AP11)))</f>
        <v>0</v>
      </c>
    </row>
    <row r="12" spans="1:72">
      <c r="A12" s="8"/>
      <c r="B12" s="8"/>
      <c r="C12" s="326"/>
      <c r="D12" s="326"/>
      <c r="E12" s="326"/>
      <c r="F12" s="326"/>
      <c r="G12" s="532">
        <f>IF(ISERROR((C12*'Study Information &amp; rates'!$B$101+D12*'Study Information &amp; rates'!$C$101+E12*'Study Information &amp; rates'!$D$101+F12*'Study Information &amp; rates'!$F$101)),0,(C12*'Study Information &amp; rates'!$B$101+D12*'Study Information &amp; rates'!$C$101+E12*'Study Information &amp; rates'!$D$101+F12*'Study Information &amp; rates'!$F$101))</f>
        <v>0</v>
      </c>
      <c r="H12" s="8"/>
      <c r="I12" s="44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428"/>
      <c r="AR12" s="440">
        <f>(SUM(H12:AP12))*G12</f>
        <v>0</v>
      </c>
      <c r="AS12" s="440">
        <f>IF('Study Information &amp; rates'!$B$44="Yes",AR12*0.287,0)</f>
        <v>0</v>
      </c>
      <c r="AT12" s="440">
        <f>IF('Study Information &amp; rates'!$B$44="No",0,AR12*0.05)</f>
        <v>0</v>
      </c>
      <c r="AU12" s="440">
        <f>AR12+AS12+AT12</f>
        <v>0</v>
      </c>
      <c r="AV12" s="440">
        <f>'Set-up and other costs'!$B$18*AU12</f>
        <v>0</v>
      </c>
      <c r="BC12" s="2">
        <f>H12*G12</f>
        <v>0</v>
      </c>
      <c r="BD12" s="2">
        <f>IF('Study Information &amp; rates'!$B$44='Study Information &amp; rates'!$V$12,BC12*0.287,0)</f>
        <v>0</v>
      </c>
      <c r="BE12" s="2">
        <f>IF((Reconciliation!$C$15)&gt;5000,BC12*0.05,0)</f>
        <v>0</v>
      </c>
      <c r="BF12" s="2">
        <f>BC12+BD12+BE12</f>
        <v>0</v>
      </c>
      <c r="BG12" s="6" t="b">
        <f>IF($B12='Look Up'!$A$5,$H12)</f>
        <v>0</v>
      </c>
      <c r="BH12" s="6" t="b">
        <f>IF($B12='Look Up'!$A$6,$H12)</f>
        <v>0</v>
      </c>
      <c r="BI12" s="6" t="b">
        <f>IF($B12='Look Up'!$A$7,$H12)</f>
        <v>0</v>
      </c>
      <c r="BJ12" s="6" t="b">
        <f>IF($B12='Look Up'!$A$7,$H12)</f>
        <v>0</v>
      </c>
      <c r="BL12" s="6">
        <f>IF($B12='Look Up'!$A$6,$C12*$H12,0)+IF($B12='Look Up'!$A$7,$C12*$H12,0)</f>
        <v>0</v>
      </c>
      <c r="BM12" s="6">
        <f>IF($B12='Look Up'!$A$6,$D12*$H12,0)+IF($B12='Look Up'!$A$7,$D12*$H12,0)</f>
        <v>0</v>
      </c>
      <c r="BN12" s="6">
        <f>IF($B12='Look Up'!$A$6,$E12*$H12,0)+IF($B12='Look Up'!$A$7,$E12*$H12,0)</f>
        <v>0</v>
      </c>
      <c r="BO12" s="6">
        <f>IF($B12='Look Up'!$A$6,$F12*$H12,0)+IF($B12='Look Up'!$A$7,$F12*$H12,0)</f>
        <v>0</v>
      </c>
      <c r="BQ12" s="6">
        <f>$C12*'Study Information &amp; rates'!$B$101*IF('Study Information &amp; rates'!$B$44='Study Information &amp; rates'!$V$12,(SUM($H12:$AP12)*1.287),(SUM($H12:$AP12)))</f>
        <v>0</v>
      </c>
      <c r="BR12" s="6">
        <f>$D12*'Study Information &amp; rates'!$C$101*IF('Study Information &amp; rates'!$B$44='Study Information &amp; rates'!$V$12,(SUM($H12:$AP12)*1.287),(SUM($H12:$AP12)))</f>
        <v>0</v>
      </c>
      <c r="BS12" s="6">
        <f>$E12*'Study Information &amp; rates'!$D$101*IF('Study Information &amp; rates'!$B$44='Study Information &amp; rates'!$V$12,(SUM($H12:$AP12)*1.287),(SUM($H12:$AP12)))</f>
        <v>0</v>
      </c>
      <c r="BT12" s="6">
        <f>$F12*'Study Information &amp; rates'!$F$101*IF('Study Information &amp; rates'!$B$44='Study Information &amp; rates'!$V$12,(SUM($H12:$AP12)*1.287),(SUM($H12:$AP12)))</f>
        <v>0</v>
      </c>
    </row>
    <row r="13" spans="1:72">
      <c r="A13" s="8"/>
      <c r="B13" s="8"/>
      <c r="C13" s="326"/>
      <c r="D13" s="326"/>
      <c r="E13" s="326"/>
      <c r="F13" s="326"/>
      <c r="G13" s="532">
        <f>IF(ISERROR((C13*'Study Information &amp; rates'!$B$101+D13*'Study Information &amp; rates'!$C$101+E13*'Study Information &amp; rates'!$D$101+F13*'Study Information &amp; rates'!$F$101)),0,(C13*'Study Information &amp; rates'!$B$101+D13*'Study Information &amp; rates'!$C$101+E13*'Study Information &amp; rates'!$D$101+F13*'Study Information &amp; rates'!$F$101))</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428"/>
      <c r="AR13" s="440">
        <f>(SUM(H13:AP13))*G13</f>
        <v>0</v>
      </c>
      <c r="AS13" s="440">
        <f>IF('Study Information &amp; rates'!$B$44="Yes",AR13*0.287,0)</f>
        <v>0</v>
      </c>
      <c r="AT13" s="440">
        <f>IF('Study Information &amp; rates'!$B$44="No",0,AR13*0.05)</f>
        <v>0</v>
      </c>
      <c r="AU13" s="440">
        <f>AR13+AS13+AT13</f>
        <v>0</v>
      </c>
      <c r="AV13" s="440">
        <f>'Set-up and other costs'!$B$18*AU13</f>
        <v>0</v>
      </c>
      <c r="BC13" s="2">
        <f>H13*G13</f>
        <v>0</v>
      </c>
      <c r="BD13" s="2">
        <f>IF('Study Information &amp; rates'!$B$44='Study Information &amp; rates'!$V$12,BC13*0.287,0)</f>
        <v>0</v>
      </c>
      <c r="BE13" s="2">
        <f>IF((Reconciliation!$C$15)&gt;5000,BC13*0.05,0)</f>
        <v>0</v>
      </c>
      <c r="BF13" s="2">
        <f>BC13+BD13+BE13</f>
        <v>0</v>
      </c>
      <c r="BG13" s="6" t="b">
        <f>IF($B13='Look Up'!$A$5,$H13)</f>
        <v>0</v>
      </c>
      <c r="BH13" s="6" t="b">
        <f>IF($B13='Look Up'!$A$6,$H13)</f>
        <v>0</v>
      </c>
      <c r="BI13" s="6" t="b">
        <f>IF($B13='Look Up'!$A$7,$H13)</f>
        <v>0</v>
      </c>
      <c r="BJ13" s="6" t="b">
        <f>IF($B13='Look Up'!$A$7,$H13)</f>
        <v>0</v>
      </c>
      <c r="BL13" s="6">
        <f>IF($B13='Look Up'!$A$6,$C13*$H13,0)+IF($B13='Look Up'!$A$7,$C13*$H13,0)</f>
        <v>0</v>
      </c>
      <c r="BM13" s="6">
        <f>IF($B13='Look Up'!$A$6,$D13*$H13,0)+IF($B13='Look Up'!$A$7,$D13*$H13,0)</f>
        <v>0</v>
      </c>
      <c r="BN13" s="6">
        <f>IF($B13='Look Up'!$A$6,$E13*$H13,0)+IF($B13='Look Up'!$A$7,$E13*$H13,0)</f>
        <v>0</v>
      </c>
      <c r="BO13" s="6">
        <f>IF($B13='Look Up'!$A$6,$F13*$H13,0)+IF($B13='Look Up'!$A$7,$F13*$H13,0)</f>
        <v>0</v>
      </c>
      <c r="BQ13" s="6">
        <f>$C13*'Study Information &amp; rates'!$B$101*IF('Study Information &amp; rates'!$B$44='Study Information &amp; rates'!$V$12,(SUM($H13:$AP13)*1.287),(SUM($H13:$AP13)))</f>
        <v>0</v>
      </c>
      <c r="BR13" s="6">
        <f>$D13*'Study Information &amp; rates'!$C$101*IF('Study Information &amp; rates'!$B$44='Study Information &amp; rates'!$V$12,(SUM($H13:$AP13)*1.287),(SUM($H13:$AP13)))</f>
        <v>0</v>
      </c>
      <c r="BS13" s="6">
        <f>$E13*'Study Information &amp; rates'!$D$101*IF('Study Information &amp; rates'!$B$44='Study Information &amp; rates'!$V$12,(SUM($H13:$AP13)*1.287),(SUM($H13:$AP13)))</f>
        <v>0</v>
      </c>
      <c r="BT13" s="6">
        <f>$F13*'Study Information &amp; rates'!$F$101*IF('Study Information &amp; rates'!$B$44='Study Information &amp; rates'!$V$12,(SUM($H13:$AP13)*1.287),(SUM($H13:$AP13)))</f>
        <v>0</v>
      </c>
    </row>
    <row r="14" spans="1:72">
      <c r="A14" s="8"/>
      <c r="B14" s="8"/>
      <c r="C14" s="326"/>
      <c r="D14" s="326"/>
      <c r="E14" s="326"/>
      <c r="F14" s="326"/>
      <c r="G14" s="532">
        <f>IF(ISERROR((C14*'Study Information &amp; rates'!$B$101+D14*'Study Information &amp; rates'!$C$101+E14*'Study Information &amp; rates'!$D$101+F14*'Study Information &amp; rates'!$F$101)),0,(C14*'Study Information &amp; rates'!$B$101+D14*'Study Information &amp; rates'!$C$101+E14*'Study Information &amp; rates'!$D$101+F14*'Study Information &amp; rates'!$F$101))</f>
        <v>0</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428"/>
      <c r="AR14" s="440">
        <f>(SUM(H14:AP14))*G14</f>
        <v>0</v>
      </c>
      <c r="AS14" s="440">
        <f>IF('Study Information &amp; rates'!$B$44="Yes",AR14*0.287,0)</f>
        <v>0</v>
      </c>
      <c r="AT14" s="440">
        <f>IF('Study Information &amp; rates'!$B$44="No",0,AR14*0.05)</f>
        <v>0</v>
      </c>
      <c r="AU14" s="440">
        <f>AR14+AS14+AT14</f>
        <v>0</v>
      </c>
      <c r="AV14" s="440">
        <f>'Set-up and other costs'!$B$18*AU14</f>
        <v>0</v>
      </c>
      <c r="BC14" s="2">
        <f>H14*G14</f>
        <v>0</v>
      </c>
      <c r="BD14" s="2">
        <f>IF('Study Information &amp; rates'!$B$44='Study Information &amp; rates'!$V$12,BC14*0.287,0)</f>
        <v>0</v>
      </c>
      <c r="BE14" s="2">
        <f>IF((Reconciliation!$C$15)&gt;5000,BC14*0.05,0)</f>
        <v>0</v>
      </c>
      <c r="BF14" s="2">
        <f>BC14+BD14+BE14</f>
        <v>0</v>
      </c>
      <c r="BG14" s="6" t="b">
        <f>IF($B14='Look Up'!$A$5,$H14)</f>
        <v>0</v>
      </c>
      <c r="BH14" s="6" t="b">
        <f>IF($B14='Look Up'!$A$6,$H14)</f>
        <v>0</v>
      </c>
      <c r="BI14" s="6" t="b">
        <f>IF($B14='Look Up'!$A$7,$H14)</f>
        <v>0</v>
      </c>
      <c r="BJ14" s="6" t="b">
        <f>IF($B14='Look Up'!$A$7,$H14)</f>
        <v>0</v>
      </c>
      <c r="BL14" s="6">
        <f>IF($B14='Look Up'!$A$6,$C14*$H14,0)+IF($B14='Look Up'!$A$7,$C14*$H14,0)</f>
        <v>0</v>
      </c>
      <c r="BM14" s="6">
        <f>IF($B14='Look Up'!$A$6,$D14*$H14,0)+IF($B14='Look Up'!$A$7,$D14*$H14,0)</f>
        <v>0</v>
      </c>
      <c r="BN14" s="6">
        <f>IF($B14='Look Up'!$A$6,$E14*$H14,0)+IF($B14='Look Up'!$A$7,$E14*$H14,0)</f>
        <v>0</v>
      </c>
      <c r="BO14" s="6">
        <f>IF($B14='Look Up'!$A$6,$F14*$H14,0)+IF($B14='Look Up'!$A$7,$F14*$H14,0)</f>
        <v>0</v>
      </c>
      <c r="BQ14" s="6">
        <f>$C14*'Study Information &amp; rates'!$B$101*IF('Study Information &amp; rates'!$B$44='Study Information &amp; rates'!$V$12,(SUM($H14:$AP14)*1.287),(SUM($H14:$AP14)))</f>
        <v>0</v>
      </c>
      <c r="BR14" s="6">
        <f>$D14*'Study Information &amp; rates'!$C$101*IF('Study Information &amp; rates'!$B$44='Study Information &amp; rates'!$V$12,(SUM($H14:$AP14)*1.287),(SUM($H14:$AP14)))</f>
        <v>0</v>
      </c>
      <c r="BS14" s="6">
        <f>$E14*'Study Information &amp; rates'!$D$101*IF('Study Information &amp; rates'!$B$44='Study Information &amp; rates'!$V$12,(SUM($H14:$AP14)*1.287),(SUM($H14:$AP14)))</f>
        <v>0</v>
      </c>
      <c r="BT14" s="6">
        <f>$F14*'Study Information &amp; rates'!$F$101*IF('Study Information &amp; rates'!$B$44='Study Information &amp; rates'!$V$12,(SUM($H14:$AP14)*1.287),(SUM($H14:$AP14)))</f>
        <v>0</v>
      </c>
    </row>
    <row r="15" spans="1:72">
      <c r="A15" s="8"/>
      <c r="B15" s="8"/>
      <c r="C15" s="326"/>
      <c r="D15" s="326"/>
      <c r="E15" s="326"/>
      <c r="F15" s="326"/>
      <c r="G15" s="532">
        <f>IF(ISERROR((C15*'Study Information &amp; rates'!$B$101+D15*'Study Information &amp; rates'!$C$101+E15*'Study Information &amp; rates'!$D$101+F15*'Study Information &amp; rates'!$F$101)),0,(C15*'Study Information &amp; rates'!$B$101+D15*'Study Information &amp; rates'!$C$101+E15*'Study Information &amp; rates'!$D$101+F15*'Study Information &amp; rates'!$F$101))</f>
        <v>0</v>
      </c>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428"/>
      <c r="AR15" s="440">
        <f>(SUM(H15:AP15))*G15</f>
        <v>0</v>
      </c>
      <c r="AS15" s="440">
        <f>IF('Study Information &amp; rates'!$B$44="Yes",AR15*0.287,0)</f>
        <v>0</v>
      </c>
      <c r="AT15" s="440">
        <f>IF('Study Information &amp; rates'!$B$44="No",0,AR15*0.05)</f>
        <v>0</v>
      </c>
      <c r="AU15" s="440">
        <f>AR15+AS15+AT15</f>
        <v>0</v>
      </c>
      <c r="AV15" s="440">
        <f>'Set-up and other costs'!$B$18*AU15</f>
        <v>0</v>
      </c>
      <c r="BC15" s="2">
        <f>H15*G15</f>
        <v>0</v>
      </c>
      <c r="BD15" s="2">
        <f>IF('Study Information &amp; rates'!$B$44='Study Information &amp; rates'!$V$12,BC15*0.287,0)</f>
        <v>0</v>
      </c>
      <c r="BE15" s="2">
        <f>IF((Reconciliation!$C$15)&gt;5000,BC15*0.05,0)</f>
        <v>0</v>
      </c>
      <c r="BF15" s="2">
        <f>BC15+BD15+BE15</f>
        <v>0</v>
      </c>
      <c r="BG15" s="6" t="b">
        <f>IF($B15='Look Up'!$A$5,$H15)</f>
        <v>0</v>
      </c>
      <c r="BH15" s="6" t="b">
        <f>IF($B15='Look Up'!$A$6,$H15)</f>
        <v>0</v>
      </c>
      <c r="BI15" s="6" t="b">
        <f>IF($B15='Look Up'!$A$7,$H15)</f>
        <v>0</v>
      </c>
      <c r="BJ15" s="6" t="b">
        <f>IF($B15='Look Up'!$A$7,$H15)</f>
        <v>0</v>
      </c>
      <c r="BL15" s="6">
        <f>IF($B15='Look Up'!$A$6,$C15*$H15,0)+IF($B15='Look Up'!$A$7,$C15*$H15,0)</f>
        <v>0</v>
      </c>
      <c r="BM15" s="6">
        <f>IF($B15='Look Up'!$A$6,$D15*$H15,0)+IF($B15='Look Up'!$A$7,$D15*$H15,0)</f>
        <v>0</v>
      </c>
      <c r="BN15" s="6">
        <f>IF($B15='Look Up'!$A$6,$E15*$H15,0)+IF($B15='Look Up'!$A$7,$E15*$H15,0)</f>
        <v>0</v>
      </c>
      <c r="BO15" s="6">
        <f>IF($B15='Look Up'!$A$6,$F15*$H15,0)+IF($B15='Look Up'!$A$7,$F15*$H15,0)</f>
        <v>0</v>
      </c>
      <c r="BQ15" s="6">
        <f>$C15*'Study Information &amp; rates'!$B$101*IF('Study Information &amp; rates'!$B$44='Study Information &amp; rates'!$V$12,(SUM($H15:$AP15)*1.287),(SUM($H15:$AP15)))</f>
        <v>0</v>
      </c>
      <c r="BR15" s="6">
        <f>$D15*'Study Information &amp; rates'!$C$101*IF('Study Information &amp; rates'!$B$44='Study Information &amp; rates'!$V$12,(SUM($H15:$AP15)*1.287),(SUM($H15:$AP15)))</f>
        <v>0</v>
      </c>
      <c r="BS15" s="6">
        <f>$E15*'Study Information &amp; rates'!$D$101*IF('Study Information &amp; rates'!$B$44='Study Information &amp; rates'!$V$12,(SUM($H15:$AP15)*1.287),(SUM($H15:$AP15)))</f>
        <v>0</v>
      </c>
      <c r="BT15" s="6">
        <f>$F15*'Study Information &amp; rates'!$F$101*IF('Study Information &amp; rates'!$B$44='Study Information &amp; rates'!$V$12,(SUM($H15:$AP15)*1.287),(SUM($H15:$AP15)))</f>
        <v>0</v>
      </c>
    </row>
    <row r="16" spans="1:72">
      <c r="A16" s="8"/>
      <c r="B16" s="8"/>
      <c r="C16" s="326"/>
      <c r="D16" s="326"/>
      <c r="E16" s="326"/>
      <c r="F16" s="326"/>
      <c r="G16" s="532">
        <f>IF(ISERROR((C16*'Study Information &amp; rates'!$B$101+D16*'Study Information &amp; rates'!$C$101+E16*'Study Information &amp; rates'!$D$101+F16*'Study Information &amp; rates'!$F$101)),0,(C16*'Study Information &amp; rates'!$B$101+D16*'Study Information &amp; rates'!$C$101+E16*'Study Information &amp; rates'!$D$101+F16*'Study Information &amp; rates'!$F$101))</f>
        <v>0</v>
      </c>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428"/>
      <c r="AR16" s="440">
        <f>(SUM(H16:AP16))*G16</f>
        <v>0</v>
      </c>
      <c r="AS16" s="440">
        <f>IF('Study Information &amp; rates'!$B$44="Yes",AR16*0.287,0)</f>
        <v>0</v>
      </c>
      <c r="AT16" s="440">
        <f>IF('Study Information &amp; rates'!$B$44="No",0,AR16*0.05)</f>
        <v>0</v>
      </c>
      <c r="AU16" s="440">
        <f>AR16+AS16+AT16</f>
        <v>0</v>
      </c>
      <c r="AV16" s="440">
        <f>'Set-up and other costs'!$B$18*AU16</f>
        <v>0</v>
      </c>
      <c r="BC16" s="2">
        <f>H16*G16</f>
        <v>0</v>
      </c>
      <c r="BD16" s="2">
        <f>IF('Study Information &amp; rates'!$B$44='Study Information &amp; rates'!$V$12,BC16*0.287,0)</f>
        <v>0</v>
      </c>
      <c r="BE16" s="2">
        <f>IF((Reconciliation!$C$15)&gt;5000,BC16*0.05,0)</f>
        <v>0</v>
      </c>
      <c r="BF16" s="2">
        <f>BC16+BD16+BE16</f>
        <v>0</v>
      </c>
      <c r="BG16" s="6" t="b">
        <f>IF($B16='Look Up'!$A$5,$H16)</f>
        <v>0</v>
      </c>
      <c r="BH16" s="6" t="b">
        <f>IF($B16='Look Up'!$A$6,$H16)</f>
        <v>0</v>
      </c>
      <c r="BI16" s="6" t="b">
        <f>IF($B16='Look Up'!$A$7,$H16)</f>
        <v>0</v>
      </c>
      <c r="BJ16" s="6" t="b">
        <f>IF($B16='Look Up'!$A$7,$H16)</f>
        <v>0</v>
      </c>
      <c r="BL16" s="6">
        <f>IF($B16='Look Up'!$A$6,$C16*$H16,0)+IF($B16='Look Up'!$A$7,$C16*$H16,0)</f>
        <v>0</v>
      </c>
      <c r="BM16" s="6">
        <f>IF($B16='Look Up'!$A$6,$D16*$H16,0)+IF($B16='Look Up'!$A$7,$D16*$H16,0)</f>
        <v>0</v>
      </c>
      <c r="BN16" s="6">
        <f>IF($B16='Look Up'!$A$6,$E16*$H16,0)+IF($B16='Look Up'!$A$7,$E16*$H16,0)</f>
        <v>0</v>
      </c>
      <c r="BO16" s="6">
        <f>IF($B16='Look Up'!$A$6,$F16*$H16,0)+IF($B16='Look Up'!$A$7,$F16*$H16,0)</f>
        <v>0</v>
      </c>
      <c r="BQ16" s="6">
        <f>$C16*'Study Information &amp; rates'!$B$101*IF('Study Information &amp; rates'!$B$44='Study Information &amp; rates'!$V$12,(SUM($H16:$AP16)*1.287),(SUM($H16:$AP16)))</f>
        <v>0</v>
      </c>
      <c r="BR16" s="6">
        <f>$D16*'Study Information &amp; rates'!$C$101*IF('Study Information &amp; rates'!$B$44='Study Information &amp; rates'!$V$12,(SUM($H16:$AP16)*1.287),(SUM($H16:$AP16)))</f>
        <v>0</v>
      </c>
      <c r="BS16" s="6">
        <f>$E16*'Study Information &amp; rates'!$D$101*IF('Study Information &amp; rates'!$B$44='Study Information &amp; rates'!$V$12,(SUM($H16:$AP16)*1.287),(SUM($H16:$AP16)))</f>
        <v>0</v>
      </c>
      <c r="BT16" s="6">
        <f>$F16*'Study Information &amp; rates'!$F$101*IF('Study Information &amp; rates'!$B$44='Study Information &amp; rates'!$V$12,(SUM($H16:$AP16)*1.287),(SUM($H16:$AP16)))</f>
        <v>0</v>
      </c>
    </row>
    <row r="17" spans="1:72">
      <c r="A17" s="8"/>
      <c r="B17" s="8"/>
      <c r="C17" s="326"/>
      <c r="D17" s="326"/>
      <c r="E17" s="326"/>
      <c r="F17" s="326"/>
      <c r="G17" s="532">
        <f>IF(ISERROR((C17*'Study Information &amp; rates'!$B$101+D17*'Study Information &amp; rates'!$C$101+E17*'Study Information &amp; rates'!$D$101+F17*'Study Information &amp; rates'!$F$101)),0,(C17*'Study Information &amp; rates'!$B$101+D17*'Study Information &amp; rates'!$C$101+E17*'Study Information &amp; rates'!$D$101+F17*'Study Information &amp; rates'!$F$101))</f>
        <v>0</v>
      </c>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428"/>
      <c r="AR17" s="440">
        <f>(SUM(H17:AP17))*G17</f>
        <v>0</v>
      </c>
      <c r="AS17" s="440">
        <f>IF('Study Information &amp; rates'!$B$44="Yes",AR17*0.287,0)</f>
        <v>0</v>
      </c>
      <c r="AT17" s="440">
        <f>IF('Study Information &amp; rates'!$B$44="No",0,AR17*0.05)</f>
        <v>0</v>
      </c>
      <c r="AU17" s="440">
        <f>AR17+AS17+AT17</f>
        <v>0</v>
      </c>
      <c r="AV17" s="440">
        <f>'Set-up and other costs'!$B$18*AU17</f>
        <v>0</v>
      </c>
      <c r="BC17" s="2">
        <f>H17*G17</f>
        <v>0</v>
      </c>
      <c r="BD17" s="2">
        <f>IF('Study Information &amp; rates'!$B$44='Study Information &amp; rates'!$V$12,BC17*0.287,0)</f>
        <v>0</v>
      </c>
      <c r="BE17" s="2">
        <f>IF((Reconciliation!$C$15)&gt;5000,BC17*0.05,0)</f>
        <v>0</v>
      </c>
      <c r="BF17" s="2">
        <f>BC17+BD17+BE17</f>
        <v>0</v>
      </c>
      <c r="BG17" s="6" t="b">
        <f>IF($B17='Look Up'!$A$5,$H17)</f>
        <v>0</v>
      </c>
      <c r="BH17" s="6" t="b">
        <f>IF($B17='Look Up'!$A$6,$H17)</f>
        <v>0</v>
      </c>
      <c r="BI17" s="6" t="b">
        <f>IF($B17='Look Up'!$A$7,$H17)</f>
        <v>0</v>
      </c>
      <c r="BJ17" s="6" t="b">
        <f>IF($B17='Look Up'!$A$7,$H17)</f>
        <v>0</v>
      </c>
      <c r="BL17" s="6">
        <f>IF($B17='Look Up'!$A$6,$C17*$H17,0)+IF($B17='Look Up'!$A$7,$C17*$H17,0)</f>
        <v>0</v>
      </c>
      <c r="BM17" s="6">
        <f>IF($B17='Look Up'!$A$6,$D17*$H17,0)+IF($B17='Look Up'!$A$7,$D17*$H17,0)</f>
        <v>0</v>
      </c>
      <c r="BN17" s="6">
        <f>IF($B17='Look Up'!$A$6,$E17*$H17,0)+IF($B17='Look Up'!$A$7,$E17*$H17,0)</f>
        <v>0</v>
      </c>
      <c r="BO17" s="6">
        <f>IF($B17='Look Up'!$A$6,$F17*$H17,0)+IF($B17='Look Up'!$A$7,$F17*$H17,0)</f>
        <v>0</v>
      </c>
      <c r="BQ17" s="6">
        <f>$C17*'Study Information &amp; rates'!$B$101*IF('Study Information &amp; rates'!$B$44='Study Information &amp; rates'!$V$12,(SUM($H17:$AP17)*1.287),(SUM($H17:$AP17)))</f>
        <v>0</v>
      </c>
      <c r="BR17" s="6">
        <f>$D17*'Study Information &amp; rates'!$C$101*IF('Study Information &amp; rates'!$B$44='Study Information &amp; rates'!$V$12,(SUM($H17:$AP17)*1.287),(SUM($H17:$AP17)))</f>
        <v>0</v>
      </c>
      <c r="BS17" s="6">
        <f>$E17*'Study Information &amp; rates'!$D$101*IF('Study Information &amp; rates'!$B$44='Study Information &amp; rates'!$V$12,(SUM($H17:$AP17)*1.287),(SUM($H17:$AP17)))</f>
        <v>0</v>
      </c>
      <c r="BT17" s="6">
        <f>$F17*'Study Information &amp; rates'!$F$101*IF('Study Information &amp; rates'!$B$44='Study Information &amp; rates'!$V$12,(SUM($H17:$AP17)*1.287),(SUM($H17:$AP17)))</f>
        <v>0</v>
      </c>
    </row>
    <row r="18" spans="1:72">
      <c r="A18" s="8"/>
      <c r="B18" s="8"/>
      <c r="C18" s="326"/>
      <c r="D18" s="326"/>
      <c r="E18" s="326"/>
      <c r="F18" s="326"/>
      <c r="G18" s="532">
        <f>IF(ISERROR((C18*'Study Information &amp; rates'!$B$101+D18*'Study Information &amp; rates'!$C$101+E18*'Study Information &amp; rates'!$D$101+F18*'Study Information &amp; rates'!$F$101)),0,(C18*'Study Information &amp; rates'!$B$101+D18*'Study Information &amp; rates'!$C$101+E18*'Study Information &amp; rates'!$D$101+F18*'Study Information &amp; rates'!$F$101))</f>
        <v>0</v>
      </c>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428"/>
      <c r="AR18" s="440">
        <f>(SUM(H18:AP18))*G18</f>
        <v>0</v>
      </c>
      <c r="AS18" s="440">
        <f>IF('Study Information &amp; rates'!$B$44="Yes",AR18*0.287,0)</f>
        <v>0</v>
      </c>
      <c r="AT18" s="440">
        <f>IF('Study Information &amp; rates'!$B$44="No",0,AR18*0.05)</f>
        <v>0</v>
      </c>
      <c r="AU18" s="440">
        <f>AR18+AS18+AT18</f>
        <v>0</v>
      </c>
      <c r="AV18" s="440">
        <f>'Set-up and other costs'!$B$18*AU18</f>
        <v>0</v>
      </c>
      <c r="BC18" s="2">
        <f>H18*G18</f>
        <v>0</v>
      </c>
      <c r="BD18" s="2">
        <f>IF('Study Information &amp; rates'!$B$44='Study Information &amp; rates'!$V$12,BC18*0.287,0)</f>
        <v>0</v>
      </c>
      <c r="BE18" s="2">
        <f>IF((Reconciliation!$C$15)&gt;5000,BC18*0.05,0)</f>
        <v>0</v>
      </c>
      <c r="BF18" s="2">
        <f>BC18+BD18+BE18</f>
        <v>0</v>
      </c>
      <c r="BG18" s="6" t="b">
        <f>IF($B18='Look Up'!$A$5,$H18)</f>
        <v>0</v>
      </c>
      <c r="BH18" s="6" t="b">
        <f>IF($B18='Look Up'!$A$6,$H18)</f>
        <v>0</v>
      </c>
      <c r="BI18" s="6" t="b">
        <f>IF($B18='Look Up'!$A$7,$H18)</f>
        <v>0</v>
      </c>
      <c r="BJ18" s="6" t="b">
        <f>IF($B18='Look Up'!$A$7,$H18)</f>
        <v>0</v>
      </c>
      <c r="BL18" s="6">
        <f>IF($B18='Look Up'!$A$6,$C18*$H18,0)+IF($B18='Look Up'!$A$7,$C18*$H18,0)</f>
        <v>0</v>
      </c>
      <c r="BM18" s="6">
        <f>IF($B18='Look Up'!$A$6,$D18*$H18,0)+IF($B18='Look Up'!$A$7,$D18*$H18,0)</f>
        <v>0</v>
      </c>
      <c r="BN18" s="6">
        <f>IF($B18='Look Up'!$A$6,$E18*$H18,0)+IF($B18='Look Up'!$A$7,$E18*$H18,0)</f>
        <v>0</v>
      </c>
      <c r="BO18" s="6">
        <f>IF($B18='Look Up'!$A$6,$F18*$H18,0)+IF($B18='Look Up'!$A$7,$F18*$H18,0)</f>
        <v>0</v>
      </c>
      <c r="BQ18" s="6">
        <f>$C18*'Study Information &amp; rates'!$B$101*IF('Study Information &amp; rates'!$B$44='Study Information &amp; rates'!$V$12,(SUM($H18:$AP18)*1.287),(SUM($H18:$AP18)))</f>
        <v>0</v>
      </c>
      <c r="BR18" s="6">
        <f>$D18*'Study Information &amp; rates'!$C$101*IF('Study Information &amp; rates'!$B$44='Study Information &amp; rates'!$V$12,(SUM($H18:$AP18)*1.287),(SUM($H18:$AP18)))</f>
        <v>0</v>
      </c>
      <c r="BS18" s="6">
        <f>$E18*'Study Information &amp; rates'!$D$101*IF('Study Information &amp; rates'!$B$44='Study Information &amp; rates'!$V$12,(SUM($H18:$AP18)*1.287),(SUM($H18:$AP18)))</f>
        <v>0</v>
      </c>
      <c r="BT18" s="6">
        <f>$F18*'Study Information &amp; rates'!$F$101*IF('Study Information &amp; rates'!$B$44='Study Information &amp; rates'!$V$12,(SUM($H18:$AP18)*1.287),(SUM($H18:$AP18)))</f>
        <v>0</v>
      </c>
    </row>
    <row r="19" spans="1:72">
      <c r="A19" s="8"/>
      <c r="B19" s="8"/>
      <c r="C19" s="326"/>
      <c r="D19" s="326"/>
      <c r="E19" s="326"/>
      <c r="F19" s="326"/>
      <c r="G19" s="532">
        <f>IF(ISERROR((C19*'Study Information &amp; rates'!$B$101+D19*'Study Information &amp; rates'!$C$101+E19*'Study Information &amp; rates'!$D$101+F19*'Study Information &amp; rates'!$F$101)),0,(C19*'Study Information &amp; rates'!$B$101+D19*'Study Information &amp; rates'!$C$101+E19*'Study Information &amp; rates'!$D$101+F19*'Study Information &amp; rates'!$F$101))</f>
        <v>0</v>
      </c>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428"/>
      <c r="AR19" s="440">
        <f>(SUM(H19:AP19))*G19</f>
        <v>0</v>
      </c>
      <c r="AS19" s="440">
        <f>IF('Study Information &amp; rates'!$B$44="Yes",AR19*0.287,0)</f>
        <v>0</v>
      </c>
      <c r="AT19" s="440">
        <f>IF('Study Information &amp; rates'!$B$44="No",0,AR19*0.05)</f>
        <v>0</v>
      </c>
      <c r="AU19" s="440">
        <f>AR19+AS19+AT19</f>
        <v>0</v>
      </c>
      <c r="AV19" s="440">
        <f>'Set-up and other costs'!$B$18*AU19</f>
        <v>0</v>
      </c>
      <c r="BC19" s="2">
        <f>H19*G19</f>
        <v>0</v>
      </c>
      <c r="BD19" s="2">
        <f>IF('Study Information &amp; rates'!$B$44='Study Information &amp; rates'!$V$12,BC19*0.287,0)</f>
        <v>0</v>
      </c>
      <c r="BE19" s="2">
        <f>IF((Reconciliation!$C$15)&gt;5000,BC19*0.05,0)</f>
        <v>0</v>
      </c>
      <c r="BF19" s="2">
        <f>BC19+BD19+BE19</f>
        <v>0</v>
      </c>
      <c r="BG19" s="6" t="b">
        <f>IF($B19='Look Up'!$A$5,$H19)</f>
        <v>0</v>
      </c>
      <c r="BH19" s="6" t="b">
        <f>IF($B19='Look Up'!$A$6,$H19)</f>
        <v>0</v>
      </c>
      <c r="BI19" s="6" t="b">
        <f>IF($B19='Look Up'!$A$7,$H19)</f>
        <v>0</v>
      </c>
      <c r="BJ19" s="6" t="b">
        <f>IF($B19='Look Up'!$A$7,$H19)</f>
        <v>0</v>
      </c>
      <c r="BL19" s="6">
        <f>IF($B19='Look Up'!$A$6,$C19*$H19,0)+IF($B19='Look Up'!$A$7,$C19*$H19,0)</f>
        <v>0</v>
      </c>
      <c r="BM19" s="6">
        <f>IF($B19='Look Up'!$A$6,$D19*$H19,0)+IF($B19='Look Up'!$A$7,$D19*$H19,0)</f>
        <v>0</v>
      </c>
      <c r="BN19" s="6">
        <f>IF($B19='Look Up'!$A$6,$E19*$H19,0)+IF($B19='Look Up'!$A$7,$E19*$H19,0)</f>
        <v>0</v>
      </c>
      <c r="BO19" s="6">
        <f>IF($B19='Look Up'!$A$6,$F19*$H19,0)+IF($B19='Look Up'!$A$7,$F19*$H19,0)</f>
        <v>0</v>
      </c>
      <c r="BQ19" s="6">
        <f>$C19*'Study Information &amp; rates'!$B$101*IF('Study Information &amp; rates'!$B$44='Study Information &amp; rates'!$V$12,(SUM($H19:$AP19)*1.287),(SUM($H19:$AP19)))</f>
        <v>0</v>
      </c>
      <c r="BR19" s="6">
        <f>$D19*'Study Information &amp; rates'!$C$101*IF('Study Information &amp; rates'!$B$44='Study Information &amp; rates'!$V$12,(SUM($H19:$AP19)*1.287),(SUM($H19:$AP19)))</f>
        <v>0</v>
      </c>
      <c r="BS19" s="6">
        <f>$E19*'Study Information &amp; rates'!$D$101*IF('Study Information &amp; rates'!$B$44='Study Information &amp; rates'!$V$12,(SUM($H19:$AP19)*1.287),(SUM($H19:$AP19)))</f>
        <v>0</v>
      </c>
      <c r="BT19" s="6">
        <f>$F19*'Study Information &amp; rates'!$F$101*IF('Study Information &amp; rates'!$B$44='Study Information &amp; rates'!$V$12,(SUM($H19:$AP19)*1.287),(SUM($H19:$AP19)))</f>
        <v>0</v>
      </c>
    </row>
    <row r="20" spans="1:72">
      <c r="A20" s="8"/>
      <c r="B20" s="8"/>
      <c r="C20" s="326"/>
      <c r="D20" s="326"/>
      <c r="E20" s="326"/>
      <c r="F20" s="326"/>
      <c r="G20" s="532">
        <f>IF(ISERROR((C20*'Study Information &amp; rates'!$B$101+D20*'Study Information &amp; rates'!$C$101+E20*'Study Information &amp; rates'!$D$101+F20*'Study Information &amp; rates'!$F$101)),0,(C20*'Study Information &amp; rates'!$B$101+D20*'Study Information &amp; rates'!$C$101+E20*'Study Information &amp; rates'!$D$101+F20*'Study Information &amp; rates'!$F$101))</f>
        <v>0</v>
      </c>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231"/>
      <c r="AJ20" s="231"/>
      <c r="AK20" s="231"/>
      <c r="AL20" s="231"/>
      <c r="AM20" s="8"/>
      <c r="AN20" s="8"/>
      <c r="AO20" s="8"/>
      <c r="AP20" s="8"/>
      <c r="AQ20" s="428"/>
      <c r="AR20" s="440">
        <f>(SUM(H20:AP20))*G20</f>
        <v>0</v>
      </c>
      <c r="AS20" s="440">
        <f>IF('Study Information &amp; rates'!$B$44="Yes",AR20*0.287,0)</f>
        <v>0</v>
      </c>
      <c r="AT20" s="440">
        <f>IF('Study Information &amp; rates'!$B$44="No",0,AR20*0.05)</f>
        <v>0</v>
      </c>
      <c r="AU20" s="440">
        <f>AR20+AS20+AT20</f>
        <v>0</v>
      </c>
      <c r="AV20" s="440">
        <f>'Set-up and other costs'!$B$18*AU20</f>
        <v>0</v>
      </c>
      <c r="BC20" s="2">
        <f>H20*G20</f>
        <v>0</v>
      </c>
      <c r="BD20" s="2">
        <f>IF('Study Information &amp; rates'!$B$44='Study Information &amp; rates'!$V$12,BC20*0.287,0)</f>
        <v>0</v>
      </c>
      <c r="BE20" s="2">
        <f>IF((Reconciliation!$C$15)&gt;5000,BC20*0.05,0)</f>
        <v>0</v>
      </c>
      <c r="BF20" s="2">
        <f>BC20+BD20+BE20</f>
        <v>0</v>
      </c>
      <c r="BG20" s="6" t="b">
        <f>IF($B20='Look Up'!$A$5,$H20)</f>
        <v>0</v>
      </c>
      <c r="BH20" s="6" t="b">
        <f>IF($B20='Look Up'!$A$6,$H20)</f>
        <v>0</v>
      </c>
      <c r="BI20" s="6" t="b">
        <f>IF($B20='Look Up'!$A$7,$H20)</f>
        <v>0</v>
      </c>
      <c r="BJ20" s="6" t="b">
        <f>IF($B20='Look Up'!$A$7,$H20)</f>
        <v>0</v>
      </c>
      <c r="BL20" s="6">
        <f>IF($B20='Look Up'!$A$6,$C20*$H20,0)+IF($B20='Look Up'!$A$7,$C20*$H20,0)</f>
        <v>0</v>
      </c>
      <c r="BM20" s="6">
        <f>IF($B20='Look Up'!$A$6,$D20*$H20,0)+IF($B20='Look Up'!$A$7,$D20*$H20,0)</f>
        <v>0</v>
      </c>
      <c r="BN20" s="6">
        <f>IF($B20='Look Up'!$A$6,$E20*$H20,0)+IF($B20='Look Up'!$A$7,$E20*$H20,0)</f>
        <v>0</v>
      </c>
      <c r="BO20" s="6">
        <f>IF($B20='Look Up'!$A$6,$F20*$H20,0)+IF($B20='Look Up'!$A$7,$F20*$H20,0)</f>
        <v>0</v>
      </c>
      <c r="BQ20" s="6">
        <f>$C20*'Study Information &amp; rates'!$B$101*IF('Study Information &amp; rates'!$B$44='Study Information &amp; rates'!$V$12,(SUM($H20:$AP20)*1.287),(SUM($H20:$AP20)))</f>
        <v>0</v>
      </c>
      <c r="BR20" s="6">
        <f>$D20*'Study Information &amp; rates'!$C$101*IF('Study Information &amp; rates'!$B$44='Study Information &amp; rates'!$V$12,(SUM($H20:$AP20)*1.287),(SUM($H20:$AP20)))</f>
        <v>0</v>
      </c>
      <c r="BS20" s="6">
        <f>$E20*'Study Information &amp; rates'!$D$101*IF('Study Information &amp; rates'!$B$44='Study Information &amp; rates'!$V$12,(SUM($H20:$AP20)*1.287),(SUM($H20:$AP20)))</f>
        <v>0</v>
      </c>
      <c r="BT20" s="6">
        <f>$F20*'Study Information &amp; rates'!$F$101*IF('Study Information &amp; rates'!$B$44='Study Information &amp; rates'!$V$12,(SUM($H20:$AP20)*1.287),(SUM($H20:$AP20)))</f>
        <v>0</v>
      </c>
    </row>
    <row r="21" spans="1:72">
      <c r="A21" s="8"/>
      <c r="B21" s="8"/>
      <c r="C21" s="326"/>
      <c r="D21" s="326"/>
      <c r="E21" s="326"/>
      <c r="F21" s="326"/>
      <c r="G21" s="532">
        <f>IF(ISERROR((C21*'Study Information &amp; rates'!$B$101+D21*'Study Information &amp; rates'!$C$101+E21*'Study Information &amp; rates'!$D$101+F21*'Study Information &amp; rates'!$F$101)),0,(C21*'Study Information &amp; rates'!$B$101+D21*'Study Information &amp; rates'!$C$101+E21*'Study Information &amp; rates'!$D$101+F21*'Study Information &amp; rates'!$F$101))</f>
        <v>0</v>
      </c>
      <c r="H21" s="327"/>
      <c r="I21" s="8"/>
      <c r="J21" s="8"/>
      <c r="K21" s="8"/>
      <c r="L21" s="8"/>
      <c r="M21" s="8"/>
      <c r="N21" s="8"/>
      <c r="O21" s="8"/>
      <c r="P21" s="8"/>
      <c r="Q21" s="8"/>
      <c r="R21" s="8"/>
      <c r="S21" s="8"/>
      <c r="T21" s="8"/>
      <c r="U21" s="8"/>
      <c r="V21" s="8"/>
      <c r="W21" s="8"/>
      <c r="X21" s="8"/>
      <c r="Y21" s="8"/>
      <c r="Z21" s="8"/>
      <c r="AA21" s="8"/>
      <c r="AB21" s="8"/>
      <c r="AC21" s="8"/>
      <c r="AD21" s="8"/>
      <c r="AE21" s="8"/>
      <c r="AF21" s="8"/>
      <c r="AG21" s="8"/>
      <c r="AH21" s="8"/>
      <c r="AI21" s="327"/>
      <c r="AJ21" s="8"/>
      <c r="AK21" s="8"/>
      <c r="AL21" s="8"/>
      <c r="AM21" s="8"/>
      <c r="AN21" s="8"/>
      <c r="AO21" s="8"/>
      <c r="AP21" s="8"/>
      <c r="AQ21" s="428"/>
      <c r="AR21" s="440">
        <f>(SUM(H21:AP21))*G21</f>
        <v>0</v>
      </c>
      <c r="AS21" s="440">
        <f>IF('Study Information &amp; rates'!$B$44="Yes",AR21*0.287,0)</f>
        <v>0</v>
      </c>
      <c r="AT21" s="440">
        <f>IF('Study Information &amp; rates'!$B$44="No",0,AR21*0.05)</f>
        <v>0</v>
      </c>
      <c r="AU21" s="440">
        <f>AR21+AS21+AT21</f>
        <v>0</v>
      </c>
      <c r="AV21" s="440">
        <f>'Set-up and other costs'!$B$18*AU21</f>
        <v>0</v>
      </c>
      <c r="BC21" s="2">
        <f>H21*G21</f>
        <v>0</v>
      </c>
      <c r="BD21" s="2">
        <f>IF('Study Information &amp; rates'!$B$44='Study Information &amp; rates'!$V$12,BC21*0.287,0)</f>
        <v>0</v>
      </c>
      <c r="BE21" s="2">
        <f>IF((Reconciliation!$C$15)&gt;5000,BC21*0.05,0)</f>
        <v>0</v>
      </c>
      <c r="BF21" s="2">
        <f>BC21+BD21+BE21</f>
        <v>0</v>
      </c>
      <c r="BG21" s="6" t="b">
        <f>IF($B21='Look Up'!$A$5,$H21)</f>
        <v>0</v>
      </c>
      <c r="BH21" s="6" t="b">
        <f>IF($B21='Look Up'!$A$6,$H21)</f>
        <v>0</v>
      </c>
      <c r="BI21" s="6" t="b">
        <f>IF($B21='Look Up'!$A$7,$H21)</f>
        <v>0</v>
      </c>
      <c r="BJ21" s="6" t="b">
        <f>IF($B21='Look Up'!$A$7,$H21)</f>
        <v>0</v>
      </c>
      <c r="BL21" s="6">
        <f>IF($B21='Look Up'!$A$6,$C21*$H21,0)+IF($B21='Look Up'!$A$7,$C21*$H21,0)</f>
        <v>0</v>
      </c>
      <c r="BM21" s="6">
        <f>IF($B21='Look Up'!$A$6,$D21*$H21,0)+IF($B21='Look Up'!$A$7,$D21*$H21,0)</f>
        <v>0</v>
      </c>
      <c r="BN21" s="6">
        <f>IF($B21='Look Up'!$A$6,$E21*$H21,0)+IF($B21='Look Up'!$A$7,$E21*$H21,0)</f>
        <v>0</v>
      </c>
      <c r="BO21" s="6">
        <f>IF($B21='Look Up'!$A$6,$F21*$H21,0)+IF($B21='Look Up'!$A$7,$F21*$H21,0)</f>
        <v>0</v>
      </c>
      <c r="BQ21" s="6">
        <f>$C21*'Study Information &amp; rates'!$B$101*IF('Study Information &amp; rates'!$B$44='Study Information &amp; rates'!$V$12,(SUM($H21:$AP21)*1.287),(SUM($H21:$AP21)))</f>
        <v>0</v>
      </c>
      <c r="BR21" s="6">
        <f>$D21*'Study Information &amp; rates'!$C$101*IF('Study Information &amp; rates'!$B$44='Study Information &amp; rates'!$V$12,(SUM($H21:$AP21)*1.287),(SUM($H21:$AP21)))</f>
        <v>0</v>
      </c>
      <c r="BS21" s="6">
        <f>$E21*'Study Information &amp; rates'!$D$101*IF('Study Information &amp; rates'!$B$44='Study Information &amp; rates'!$V$12,(SUM($H21:$AP21)*1.287),(SUM($H21:$AP21)))</f>
        <v>0</v>
      </c>
      <c r="BT21" s="6">
        <f>$F21*'Study Information &amp; rates'!$F$101*IF('Study Information &amp; rates'!$B$44='Study Information &amp; rates'!$V$12,(SUM($H21:$AP21)*1.287),(SUM($H21:$AP21)))</f>
        <v>0</v>
      </c>
    </row>
    <row r="22" spans="1:72">
      <c r="A22" s="8"/>
      <c r="B22" s="8"/>
      <c r="C22" s="326"/>
      <c r="D22" s="326"/>
      <c r="E22" s="326"/>
      <c r="F22" s="326"/>
      <c r="G22" s="532">
        <f>IF(ISERROR((C22*'Study Information &amp; rates'!$B$101+D22*'Study Information &amp; rates'!$C$101+E22*'Study Information &amp; rates'!$D$101+F22*'Study Information &amp; rates'!$F$101)),0,(C22*'Study Information &amp; rates'!$B$101+D22*'Study Information &amp; rates'!$C$101+E22*'Study Information &amp; rates'!$D$101+F22*'Study Information &amp; rates'!$F$101))</f>
        <v>0</v>
      </c>
      <c r="H22" s="327"/>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428"/>
      <c r="AR22" s="440">
        <f>(SUM(H22:AP22))*G22</f>
        <v>0</v>
      </c>
      <c r="AS22" s="440">
        <f>IF('Study Information &amp; rates'!$B$44="Yes",AR22*0.287,0)</f>
        <v>0</v>
      </c>
      <c r="AT22" s="440">
        <f>IF('Study Information &amp; rates'!$B$44="No",0,AR22*0.05)</f>
        <v>0</v>
      </c>
      <c r="AU22" s="440">
        <f>AR22+AS22+AT22</f>
        <v>0</v>
      </c>
      <c r="AV22" s="440">
        <f>'Set-up and other costs'!$B$18*AU22</f>
        <v>0</v>
      </c>
      <c r="BC22" s="2">
        <f>H22*G22</f>
        <v>0</v>
      </c>
      <c r="BD22" s="2">
        <f>IF('Study Information &amp; rates'!$B$44='Study Information &amp; rates'!$V$12,BC22*0.287,0)</f>
        <v>0</v>
      </c>
      <c r="BE22" s="2">
        <f>IF((Reconciliation!$C$15)&gt;5000,BC22*0.05,0)</f>
        <v>0</v>
      </c>
      <c r="BF22" s="2">
        <f>BC22+BD22+BE22</f>
        <v>0</v>
      </c>
      <c r="BG22" s="6" t="b">
        <f>IF($B22='Look Up'!$A$5,$H22)</f>
        <v>0</v>
      </c>
      <c r="BH22" s="6" t="b">
        <f>IF($B22='Look Up'!$A$6,$H22)</f>
        <v>0</v>
      </c>
      <c r="BI22" s="6" t="b">
        <f>IF($B22='Look Up'!$A$7,$H22)</f>
        <v>0</v>
      </c>
      <c r="BJ22" s="6" t="b">
        <f>IF($B22='Look Up'!$A$7,$H22)</f>
        <v>0</v>
      </c>
      <c r="BL22" s="6">
        <f>IF($B22='Look Up'!$A$6,$C22*$H22,0)+IF($B22='Look Up'!$A$7,$C22*$H22,0)</f>
        <v>0</v>
      </c>
      <c r="BM22" s="6">
        <f>IF($B22='Look Up'!$A$6,$D22*$H22,0)+IF($B22='Look Up'!$A$7,$D22*$H22,0)</f>
        <v>0</v>
      </c>
      <c r="BN22" s="6">
        <f>IF($B22='Look Up'!$A$6,$E22*$H22,0)+IF($B22='Look Up'!$A$7,$E22*$H22,0)</f>
        <v>0</v>
      </c>
      <c r="BO22" s="6">
        <f>IF($B22='Look Up'!$A$6,$F22*$H22,0)+IF($B22='Look Up'!$A$7,$F22*$H22,0)</f>
        <v>0</v>
      </c>
      <c r="BQ22" s="6">
        <f>$C22*'Study Information &amp; rates'!$B$101*IF('Study Information &amp; rates'!$B$44='Study Information &amp; rates'!$V$12,(SUM($H22:$AP22)*1.287),(SUM($H22:$AP22)))</f>
        <v>0</v>
      </c>
      <c r="BR22" s="6">
        <f>$D22*'Study Information &amp; rates'!$C$101*IF('Study Information &amp; rates'!$B$44='Study Information &amp; rates'!$V$12,(SUM($H22:$AP22)*1.287),(SUM($H22:$AP22)))</f>
        <v>0</v>
      </c>
      <c r="BS22" s="6">
        <f>$E22*'Study Information &amp; rates'!$D$101*IF('Study Information &amp; rates'!$B$44='Study Information &amp; rates'!$V$12,(SUM($H22:$AP22)*1.287),(SUM($H22:$AP22)))</f>
        <v>0</v>
      </c>
      <c r="BT22" s="6">
        <f>$F22*'Study Information &amp; rates'!$F$101*IF('Study Information &amp; rates'!$B$44='Study Information &amp; rates'!$V$12,(SUM($H22:$AP22)*1.287),(SUM($H22:$AP22)))</f>
        <v>0</v>
      </c>
    </row>
    <row r="23" spans="1:72">
      <c r="A23" s="8"/>
      <c r="B23" s="8"/>
      <c r="C23" s="326"/>
      <c r="D23" s="326"/>
      <c r="E23" s="326"/>
      <c r="F23" s="326"/>
      <c r="G23" s="532">
        <f>IF(ISERROR((C23*'Study Information &amp; rates'!$B$101+D23*'Study Information &amp; rates'!$C$101+E23*'Study Information &amp; rates'!$D$101+F23*'Study Information &amp; rates'!$F$101)),0,(C23*'Study Information &amp; rates'!$B$101+D23*'Study Information &amp; rates'!$C$101+E23*'Study Information &amp; rates'!$D$101+F23*'Study Information &amp; rates'!$F$101))</f>
        <v>0</v>
      </c>
      <c r="H23" s="327"/>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428"/>
      <c r="AR23" s="440">
        <f>(SUM(H23:AP23))*G23</f>
        <v>0</v>
      </c>
      <c r="AS23" s="440">
        <f>IF('Study Information &amp; rates'!$B$44="Yes",AR23*0.287,0)</f>
        <v>0</v>
      </c>
      <c r="AT23" s="440">
        <f>IF('Study Information &amp; rates'!$B$44="No",0,AR23*0.05)</f>
        <v>0</v>
      </c>
      <c r="AU23" s="440">
        <f>AR23+AS23+AT23</f>
        <v>0</v>
      </c>
      <c r="AV23" s="440">
        <f>'Set-up and other costs'!$B$18*AU23</f>
        <v>0</v>
      </c>
      <c r="BC23" s="2">
        <f>H23*G23</f>
        <v>0</v>
      </c>
      <c r="BD23" s="2">
        <f>IF('Study Information &amp; rates'!$B$44='Study Information &amp; rates'!$V$12,BC23*0.287,0)</f>
        <v>0</v>
      </c>
      <c r="BE23" s="2">
        <f>IF((Reconciliation!$C$15)&gt;5000,BC23*0.05,0)</f>
        <v>0</v>
      </c>
      <c r="BF23" s="2">
        <f>BC23+BD23+BE23</f>
        <v>0</v>
      </c>
      <c r="BG23" s="6" t="b">
        <f>IF($B23='Look Up'!$A$5,$H23)</f>
        <v>0</v>
      </c>
      <c r="BH23" s="6" t="b">
        <f>IF($B23='Look Up'!$A$6,$H23)</f>
        <v>0</v>
      </c>
      <c r="BI23" s="6" t="b">
        <f>IF($B23='Look Up'!$A$7,$H23)</f>
        <v>0</v>
      </c>
      <c r="BJ23" s="6" t="b">
        <f>IF($B23='Look Up'!$A$7,$H23)</f>
        <v>0</v>
      </c>
      <c r="BL23" s="6">
        <f>IF($B23='Look Up'!$A$6,$C23*$H23,0)+IF($B23='Look Up'!$A$7,$C23*$H23,0)</f>
        <v>0</v>
      </c>
      <c r="BM23" s="6">
        <f>IF($B23='Look Up'!$A$6,$D23*$H23,0)+IF($B23='Look Up'!$A$7,$D23*$H23,0)</f>
        <v>0</v>
      </c>
      <c r="BN23" s="6">
        <f>IF($B23='Look Up'!$A$6,$E23*$H23,0)+IF($B23='Look Up'!$A$7,$E23*$H23,0)</f>
        <v>0</v>
      </c>
      <c r="BO23" s="6">
        <f>IF($B23='Look Up'!$A$6,$F23*$H23,0)+IF($B23='Look Up'!$A$7,$F23*$H23,0)</f>
        <v>0</v>
      </c>
      <c r="BQ23" s="6">
        <f>$C23*'Study Information &amp; rates'!$B$101*IF('Study Information &amp; rates'!$B$44='Study Information &amp; rates'!$V$12,(SUM($H23:$AP23)*1.287),(SUM($H23:$AP23)))</f>
        <v>0</v>
      </c>
      <c r="BR23" s="6">
        <f>$D23*'Study Information &amp; rates'!$C$101*IF('Study Information &amp; rates'!$B$44='Study Information &amp; rates'!$V$12,(SUM($H23:$AP23)*1.287),(SUM($H23:$AP23)))</f>
        <v>0</v>
      </c>
      <c r="BS23" s="6">
        <f>$E23*'Study Information &amp; rates'!$D$101*IF('Study Information &amp; rates'!$B$44='Study Information &amp; rates'!$V$12,(SUM($H23:$AP23)*1.287),(SUM($H23:$AP23)))</f>
        <v>0</v>
      </c>
      <c r="BT23" s="6">
        <f>$F23*'Study Information &amp; rates'!$F$101*IF('Study Information &amp; rates'!$B$44='Study Information &amp; rates'!$V$12,(SUM($H23:$AP23)*1.287),(SUM($H23:$AP23)))</f>
        <v>0</v>
      </c>
    </row>
    <row r="24" spans="1:72">
      <c r="A24" s="8"/>
      <c r="B24" s="8"/>
      <c r="C24" s="326"/>
      <c r="D24" s="326"/>
      <c r="E24" s="326"/>
      <c r="F24" s="326"/>
      <c r="G24" s="532">
        <f>IF(ISERROR((C24*'Study Information &amp; rates'!$B$101+D24*'Study Information &amp; rates'!$C$101+E24*'Study Information &amp; rates'!$D$101+F24*'Study Information &amp; rates'!$F$101)),0,(C24*'Study Information &amp; rates'!$B$101+D24*'Study Information &amp; rates'!$C$101+E24*'Study Information &amp; rates'!$D$101+F24*'Study Information &amp; rates'!$F$101))</f>
        <v>0</v>
      </c>
      <c r="H24" s="327"/>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428"/>
      <c r="AR24" s="440">
        <f>(SUM(H24:AP24))*G24</f>
        <v>0</v>
      </c>
      <c r="AS24" s="440">
        <f>IF('Study Information &amp; rates'!$B$44="Yes",AR24*0.287,0)</f>
        <v>0</v>
      </c>
      <c r="AT24" s="440">
        <f>IF('Study Information &amp; rates'!$B$44="No",0,AR24*0.05)</f>
        <v>0</v>
      </c>
      <c r="AU24" s="440">
        <f>AR24+AS24+AT24</f>
        <v>0</v>
      </c>
      <c r="AV24" s="440">
        <f>'Set-up and other costs'!$B$18*AU24</f>
        <v>0</v>
      </c>
      <c r="BC24" s="2">
        <f>H24*G24</f>
        <v>0</v>
      </c>
      <c r="BD24" s="2">
        <f>IF('Study Information &amp; rates'!$B$44='Study Information &amp; rates'!$V$12,BC24*0.287,0)</f>
        <v>0</v>
      </c>
      <c r="BE24" s="2">
        <f>IF((Reconciliation!$C$15)&gt;5000,BC24*0.05,0)</f>
        <v>0</v>
      </c>
      <c r="BF24" s="2">
        <f>BC24+BD24+BE24</f>
        <v>0</v>
      </c>
      <c r="BG24" s="6" t="b">
        <f>IF($B24='Look Up'!$A$5,$H24)</f>
        <v>0</v>
      </c>
      <c r="BH24" s="6" t="b">
        <f>IF($B24='Look Up'!$A$6,$H24)</f>
        <v>0</v>
      </c>
      <c r="BI24" s="6" t="b">
        <f>IF($B24='Look Up'!$A$7,$H24)</f>
        <v>0</v>
      </c>
      <c r="BJ24" s="6" t="b">
        <f>IF($B24='Look Up'!$A$7,$H24)</f>
        <v>0</v>
      </c>
      <c r="BL24" s="6">
        <f>IF($B24='Look Up'!$A$6,$C24*$H24,0)+IF($B24='Look Up'!$A$7,$C24*$H24,0)</f>
        <v>0</v>
      </c>
      <c r="BM24" s="6">
        <f>IF($B24='Look Up'!$A$6,$D24*$H24,0)+IF($B24='Look Up'!$A$7,$D24*$H24,0)</f>
        <v>0</v>
      </c>
      <c r="BN24" s="6">
        <f>IF($B24='Look Up'!$A$6,$E24*$H24,0)+IF($B24='Look Up'!$A$7,$E24*$H24,0)</f>
        <v>0</v>
      </c>
      <c r="BO24" s="6">
        <f>IF($B24='Look Up'!$A$6,$F24*$H24,0)+IF($B24='Look Up'!$A$7,$F24*$H24,0)</f>
        <v>0</v>
      </c>
      <c r="BQ24" s="6">
        <f>$C24*'Study Information &amp; rates'!$B$101*IF('Study Information &amp; rates'!$B$44='Study Information &amp; rates'!$V$12,(SUM($H24:$AP24)*1.287),(SUM($H24:$AP24)))</f>
        <v>0</v>
      </c>
      <c r="BR24" s="6">
        <f>$D24*'Study Information &amp; rates'!$C$101*IF('Study Information &amp; rates'!$B$44='Study Information &amp; rates'!$V$12,(SUM($H24:$AP24)*1.287),(SUM($H24:$AP24)))</f>
        <v>0</v>
      </c>
      <c r="BS24" s="6">
        <f>$E24*'Study Information &amp; rates'!$D$101*IF('Study Information &amp; rates'!$B$44='Study Information &amp; rates'!$V$12,(SUM($H24:$AP24)*1.287),(SUM($H24:$AP24)))</f>
        <v>0</v>
      </c>
      <c r="BT24" s="6">
        <f>$F24*'Study Information &amp; rates'!$F$101*IF('Study Information &amp; rates'!$B$44='Study Information &amp; rates'!$V$12,(SUM($H24:$AP24)*1.287),(SUM($H24:$AP24)))</f>
        <v>0</v>
      </c>
    </row>
    <row r="25" spans="1:72">
      <c r="A25" s="8"/>
      <c r="B25" s="8"/>
      <c r="C25" s="326"/>
      <c r="D25" s="326"/>
      <c r="E25" s="326"/>
      <c r="F25" s="326"/>
      <c r="G25" s="532">
        <f>IF(ISERROR((C25*'Study Information &amp; rates'!$B$101+D25*'Study Information &amp; rates'!$C$101+E25*'Study Information &amp; rates'!$D$101+F25*'Study Information &amp; rates'!$F$101)),0,(C25*'Study Information &amp; rates'!$B$101+D25*'Study Information &amp; rates'!$C$101+E25*'Study Information &amp; rates'!$D$101+F25*'Study Information &amp; rates'!$F$101))</f>
        <v>0</v>
      </c>
      <c r="H25" s="327"/>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428"/>
      <c r="AR25" s="440">
        <f>(SUM(H25:AP25))*G25</f>
        <v>0</v>
      </c>
      <c r="AS25" s="440">
        <f>IF('Study Information &amp; rates'!$B$44="Yes",AR25*0.287,0)</f>
        <v>0</v>
      </c>
      <c r="AT25" s="440">
        <f>IF('Study Information &amp; rates'!$B$44="No",0,AR25*0.05)</f>
        <v>0</v>
      </c>
      <c r="AU25" s="440">
        <f>AR25+AS25+AT25</f>
        <v>0</v>
      </c>
      <c r="AV25" s="440">
        <f>'Set-up and other costs'!$B$18*AU25</f>
        <v>0</v>
      </c>
      <c r="BC25" s="2">
        <f>H25*G25</f>
        <v>0</v>
      </c>
      <c r="BD25" s="2">
        <f>IF('Study Information &amp; rates'!$B$44='Study Information &amp; rates'!$V$12,BC25*0.287,0)</f>
        <v>0</v>
      </c>
      <c r="BE25" s="2">
        <f>IF((Reconciliation!$C$15)&gt;5000,BC25*0.05,0)</f>
        <v>0</v>
      </c>
      <c r="BF25" s="2">
        <f>BC25+BD25+BE25</f>
        <v>0</v>
      </c>
      <c r="BG25" s="6" t="b">
        <f>IF($B25='Look Up'!$A$5,$H25)</f>
        <v>0</v>
      </c>
      <c r="BH25" s="6" t="b">
        <f>IF($B25='Look Up'!$A$6,$H25)</f>
        <v>0</v>
      </c>
      <c r="BI25" s="6" t="b">
        <f>IF($B25='Look Up'!$A$7,$H25)</f>
        <v>0</v>
      </c>
      <c r="BJ25" s="6" t="b">
        <f>IF($B25='Look Up'!$A$7,$H25)</f>
        <v>0</v>
      </c>
      <c r="BL25" s="6">
        <f>IF($B25='Look Up'!$A$6,$C25*$H25,0)+IF($B25='Look Up'!$A$7,$C25*$H25,0)</f>
        <v>0</v>
      </c>
      <c r="BM25" s="6">
        <f>IF($B25='Look Up'!$A$6,$D25*$H25,0)+IF($B25='Look Up'!$A$7,$D25*$H25,0)</f>
        <v>0</v>
      </c>
      <c r="BN25" s="6">
        <f>IF($B25='Look Up'!$A$6,$E25*$H25,0)+IF($B25='Look Up'!$A$7,$E25*$H25,0)</f>
        <v>0</v>
      </c>
      <c r="BO25" s="6">
        <f>IF($B25='Look Up'!$A$6,$F25*$H25,0)+IF($B25='Look Up'!$A$7,$F25*$H25,0)</f>
        <v>0</v>
      </c>
      <c r="BQ25" s="6">
        <f>$C25*'Study Information &amp; rates'!$B$101*IF('Study Information &amp; rates'!$B$44='Study Information &amp; rates'!$V$12,(SUM($H25:$AP25)*1.287),(SUM($H25:$AP25)))</f>
        <v>0</v>
      </c>
      <c r="BR25" s="6">
        <f>$D25*'Study Information &amp; rates'!$C$101*IF('Study Information &amp; rates'!$B$44='Study Information &amp; rates'!$V$12,(SUM($H25:$AP25)*1.287),(SUM($H25:$AP25)))</f>
        <v>0</v>
      </c>
      <c r="BS25" s="6">
        <f>$E25*'Study Information &amp; rates'!$D$101*IF('Study Information &amp; rates'!$B$44='Study Information &amp; rates'!$V$12,(SUM($H25:$AP25)*1.287),(SUM($H25:$AP25)))</f>
        <v>0</v>
      </c>
      <c r="BT25" s="6">
        <f>$F25*'Study Information &amp; rates'!$F$101*IF('Study Information &amp; rates'!$B$44='Study Information &amp; rates'!$V$12,(SUM($H25:$AP25)*1.287),(SUM($H25:$AP25)))</f>
        <v>0</v>
      </c>
    </row>
    <row r="26" spans="1:72">
      <c r="A26" s="8"/>
      <c r="B26" s="8"/>
      <c r="C26" s="326"/>
      <c r="D26" s="326"/>
      <c r="E26" s="326"/>
      <c r="F26" s="326"/>
      <c r="G26" s="532">
        <f>IF(ISERROR((C26*'Study Information &amp; rates'!$B$101+D26*'Study Information &amp; rates'!$C$101+E26*'Study Information &amp; rates'!$D$101+F26*'Study Information &amp; rates'!$F$101)),0,(C26*'Study Information &amp; rates'!$B$101+D26*'Study Information &amp; rates'!$C$101+E26*'Study Information &amp; rates'!$D$101+F26*'Study Information &amp; rates'!$F$101))</f>
        <v>0</v>
      </c>
      <c r="H26" s="327"/>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428"/>
      <c r="AR26" s="440">
        <f>(SUM(H26:AP26))*G26</f>
        <v>0</v>
      </c>
      <c r="AS26" s="440">
        <f>IF('Study Information &amp; rates'!$B$44="Yes",AR26*0.287,0)</f>
        <v>0</v>
      </c>
      <c r="AT26" s="440">
        <f>IF('Study Information &amp; rates'!$B$44="No",0,AR26*0.05)</f>
        <v>0</v>
      </c>
      <c r="AU26" s="440">
        <f>AR26+AS26+AT26</f>
        <v>0</v>
      </c>
      <c r="AV26" s="440">
        <f>'Set-up and other costs'!$B$18*AU26</f>
        <v>0</v>
      </c>
      <c r="BC26" s="2">
        <f>H26*G26</f>
        <v>0</v>
      </c>
      <c r="BD26" s="2">
        <f>IF('Study Information &amp; rates'!$B$44='Study Information &amp; rates'!$V$12,BC26*0.287,0)</f>
        <v>0</v>
      </c>
      <c r="BE26" s="2">
        <f>IF((Reconciliation!$C$15)&gt;5000,BC26*0.05,0)</f>
        <v>0</v>
      </c>
      <c r="BF26" s="2">
        <f>BC26+BD26+BE26</f>
        <v>0</v>
      </c>
      <c r="BG26" s="6" t="b">
        <f>IF($B26='Look Up'!$A$5,$H26)</f>
        <v>0</v>
      </c>
      <c r="BH26" s="6" t="b">
        <f>IF($B26='Look Up'!$A$6,$H26)</f>
        <v>0</v>
      </c>
      <c r="BI26" s="6" t="b">
        <f>IF($B26='Look Up'!$A$7,$H26)</f>
        <v>0</v>
      </c>
      <c r="BJ26" s="6" t="b">
        <f>IF($B26='Look Up'!$A$7,$H26)</f>
        <v>0</v>
      </c>
      <c r="BL26" s="6">
        <f>IF($B26='Look Up'!$A$6,$C26*$H26,0)+IF($B26='Look Up'!$A$7,$C26*$H26,0)</f>
        <v>0</v>
      </c>
      <c r="BM26" s="6">
        <f>IF($B26='Look Up'!$A$6,$D26*$H26,0)+IF($B26='Look Up'!$A$7,$D26*$H26,0)</f>
        <v>0</v>
      </c>
      <c r="BN26" s="6">
        <f>IF($B26='Look Up'!$A$6,$E26*$H26,0)+IF($B26='Look Up'!$A$7,$E26*$H26,0)</f>
        <v>0</v>
      </c>
      <c r="BO26" s="6">
        <f>IF($B26='Look Up'!$A$6,$F26*$H26,0)+IF($B26='Look Up'!$A$7,$F26*$H26,0)</f>
        <v>0</v>
      </c>
      <c r="BQ26" s="6">
        <f>$C26*'Study Information &amp; rates'!$B$101*IF('Study Information &amp; rates'!$B$44='Study Information &amp; rates'!$V$12,(SUM($H26:$AP26)*1.287),(SUM($H26:$AP26)))</f>
        <v>0</v>
      </c>
      <c r="BR26" s="6">
        <f>$D26*'Study Information &amp; rates'!$C$101*IF('Study Information &amp; rates'!$B$44='Study Information &amp; rates'!$V$12,(SUM($H26:$AP26)*1.287),(SUM($H26:$AP26)))</f>
        <v>0</v>
      </c>
      <c r="BS26" s="6">
        <f>$E26*'Study Information &amp; rates'!$D$101*IF('Study Information &amp; rates'!$B$44='Study Information &amp; rates'!$V$12,(SUM($H26:$AP26)*1.287),(SUM($H26:$AP26)))</f>
        <v>0</v>
      </c>
      <c r="BT26" s="6">
        <f>$F26*'Study Information &amp; rates'!$F$101*IF('Study Information &amp; rates'!$B$44='Study Information &amp; rates'!$V$12,(SUM($H26:$AP26)*1.287),(SUM($H26:$AP26)))</f>
        <v>0</v>
      </c>
    </row>
    <row r="27" spans="1:72">
      <c r="A27" s="8"/>
      <c r="B27" s="8"/>
      <c r="C27" s="326"/>
      <c r="D27" s="326"/>
      <c r="E27" s="326"/>
      <c r="F27" s="326"/>
      <c r="G27" s="532">
        <f>IF(ISERROR((C27*'Study Information &amp; rates'!$B$101+D27*'Study Information &amp; rates'!$C$101+E27*'Study Information &amp; rates'!$D$101+F27*'Study Information &amp; rates'!$F$101)),0,(C27*'Study Information &amp; rates'!$B$101+D27*'Study Information &amp; rates'!$C$101+E27*'Study Information &amp; rates'!$D$101+F27*'Study Information &amp; rates'!$F$101))</f>
        <v>0</v>
      </c>
      <c r="H27" s="327"/>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428"/>
      <c r="AR27" s="440">
        <f>(SUM(H27:AP27))*G27</f>
        <v>0</v>
      </c>
      <c r="AS27" s="440">
        <f>IF('Study Information &amp; rates'!$B$44="Yes",AR27*0.287,0)</f>
        <v>0</v>
      </c>
      <c r="AT27" s="440">
        <f>IF('Study Information &amp; rates'!$B$44="No",0,AR27*0.05)</f>
        <v>0</v>
      </c>
      <c r="AU27" s="440">
        <f>AR27+AS27+AT27</f>
        <v>0</v>
      </c>
      <c r="AV27" s="440">
        <f>'Set-up and other costs'!$B$18*AU27</f>
        <v>0</v>
      </c>
      <c r="BC27" s="2">
        <f>H27*G27</f>
        <v>0</v>
      </c>
      <c r="BD27" s="2">
        <f>IF('Study Information &amp; rates'!$B$44='Study Information &amp; rates'!$V$12,BC27*0.287,0)</f>
        <v>0</v>
      </c>
      <c r="BE27" s="2">
        <f>IF((Reconciliation!$C$15)&gt;5000,BC27*0.05,0)</f>
        <v>0</v>
      </c>
      <c r="BF27" s="2">
        <f>BC27+BD27+BE27</f>
        <v>0</v>
      </c>
      <c r="BG27" s="6" t="b">
        <f>IF($B27='Look Up'!$A$5,$H27)</f>
        <v>0</v>
      </c>
      <c r="BH27" s="6" t="b">
        <f>IF($B27='Look Up'!$A$6,$H27)</f>
        <v>0</v>
      </c>
      <c r="BI27" s="6" t="b">
        <f>IF($B27='Look Up'!$A$7,$H27)</f>
        <v>0</v>
      </c>
      <c r="BJ27" s="6" t="b">
        <f>IF($B27='Look Up'!$A$7,$H27)</f>
        <v>0</v>
      </c>
      <c r="BL27" s="6">
        <f>IF($B27='Look Up'!$A$6,$C27*$H27,0)+IF($B27='Look Up'!$A$7,$C27*$H27,0)</f>
        <v>0</v>
      </c>
      <c r="BM27" s="6">
        <f>IF($B27='Look Up'!$A$6,$D27*$H27,0)+IF($B27='Look Up'!$A$7,$D27*$H27,0)</f>
        <v>0</v>
      </c>
      <c r="BN27" s="6">
        <f>IF($B27='Look Up'!$A$6,$E27*$H27,0)+IF($B27='Look Up'!$A$7,$E27*$H27,0)</f>
        <v>0</v>
      </c>
      <c r="BO27" s="6">
        <f>IF($B27='Look Up'!$A$6,$F27*$H27,0)+IF($B27='Look Up'!$A$7,$F27*$H27,0)</f>
        <v>0</v>
      </c>
      <c r="BQ27" s="6">
        <f>$C27*'Study Information &amp; rates'!$B$101*IF('Study Information &amp; rates'!$B$44='Study Information &amp; rates'!$V$12,(SUM($H27:$AP27)*1.287),(SUM($H27:$AP27)))</f>
        <v>0</v>
      </c>
      <c r="BR27" s="6">
        <f>$D27*'Study Information &amp; rates'!$C$101*IF('Study Information &amp; rates'!$B$44='Study Information &amp; rates'!$V$12,(SUM($H27:$AP27)*1.287),(SUM($H27:$AP27)))</f>
        <v>0</v>
      </c>
      <c r="BS27" s="6">
        <f>$E27*'Study Information &amp; rates'!$D$101*IF('Study Information &amp; rates'!$B$44='Study Information &amp; rates'!$V$12,(SUM($H27:$AP27)*1.287),(SUM($H27:$AP27)))</f>
        <v>0</v>
      </c>
      <c r="BT27" s="6">
        <f>$F27*'Study Information &amp; rates'!$F$101*IF('Study Information &amp; rates'!$B$44='Study Information &amp; rates'!$V$12,(SUM($H27:$AP27)*1.287),(SUM($H27:$AP27)))</f>
        <v>0</v>
      </c>
    </row>
    <row r="28" spans="1:72">
      <c r="A28" s="8"/>
      <c r="B28" s="8"/>
      <c r="C28" s="326"/>
      <c r="D28" s="326"/>
      <c r="E28" s="326"/>
      <c r="F28" s="326"/>
      <c r="G28" s="532">
        <f>IF(ISERROR((C28*'Study Information &amp; rates'!$B$101+D28*'Study Information &amp; rates'!$C$101+E28*'Study Information &amp; rates'!$D$101+F28*'Study Information &amp; rates'!$F$101)),0,(C28*'Study Information &amp; rates'!$B$101+D28*'Study Information &amp; rates'!$C$101+E28*'Study Information &amp; rates'!$D$101+F28*'Study Information &amp; rates'!$F$101))</f>
        <v>0</v>
      </c>
      <c r="H28" s="327"/>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428"/>
      <c r="AR28" s="440">
        <f>(SUM(H28:AP28))*G28</f>
        <v>0</v>
      </c>
      <c r="AS28" s="440">
        <f>IF('Study Information &amp; rates'!$B$44="Yes",AR28*0.287,0)</f>
        <v>0</v>
      </c>
      <c r="AT28" s="440">
        <f>IF('Study Information &amp; rates'!$B$44="No",0,AR28*0.05)</f>
        <v>0</v>
      </c>
      <c r="AU28" s="440">
        <f>AR28+AS28+AT28</f>
        <v>0</v>
      </c>
      <c r="AV28" s="440">
        <f>'Set-up and other costs'!$B$18*AU28</f>
        <v>0</v>
      </c>
      <c r="BC28" s="2">
        <f>H28*G28</f>
        <v>0</v>
      </c>
      <c r="BD28" s="2">
        <f>IF('Study Information &amp; rates'!$B$44='Study Information &amp; rates'!$V$12,BC28*0.287,0)</f>
        <v>0</v>
      </c>
      <c r="BE28" s="2">
        <f>IF((Reconciliation!$C$15)&gt;5000,BC28*0.05,0)</f>
        <v>0</v>
      </c>
      <c r="BF28" s="2">
        <f>BC28+BD28+BE28</f>
        <v>0</v>
      </c>
      <c r="BG28" s="6" t="b">
        <f>IF($B28='Look Up'!$A$5,$H28)</f>
        <v>0</v>
      </c>
      <c r="BH28" s="6" t="b">
        <f>IF($B28='Look Up'!$A$6,$H28)</f>
        <v>0</v>
      </c>
      <c r="BI28" s="6" t="b">
        <f>IF($B28='Look Up'!$A$7,$H28)</f>
        <v>0</v>
      </c>
      <c r="BJ28" s="6" t="b">
        <f>IF($B28='Look Up'!$A$7,$H28)</f>
        <v>0</v>
      </c>
      <c r="BL28" s="6">
        <f>IF($B28='Look Up'!$A$6,$C28*$H28,0)+IF($B28='Look Up'!$A$7,$C28*$H28,0)</f>
        <v>0</v>
      </c>
      <c r="BM28" s="6">
        <f>IF($B28='Look Up'!$A$6,$D28*$H28,0)+IF($B28='Look Up'!$A$7,$D28*$H28,0)</f>
        <v>0</v>
      </c>
      <c r="BN28" s="6">
        <f>IF($B28='Look Up'!$A$6,$E28*$H28,0)+IF($B28='Look Up'!$A$7,$E28*$H28,0)</f>
        <v>0</v>
      </c>
      <c r="BO28" s="6">
        <f>IF($B28='Look Up'!$A$6,$F28*$H28,0)+IF($B28='Look Up'!$A$7,$F28*$H28,0)</f>
        <v>0</v>
      </c>
      <c r="BQ28" s="6">
        <f>$C28*'Study Information &amp; rates'!$B$101*IF('Study Information &amp; rates'!$B$44='Study Information &amp; rates'!$V$12,(SUM($H28:$AP28)*1.287),(SUM($H28:$AP28)))</f>
        <v>0</v>
      </c>
      <c r="BR28" s="6">
        <f>$D28*'Study Information &amp; rates'!$C$101*IF('Study Information &amp; rates'!$B$44='Study Information &amp; rates'!$V$12,(SUM($H28:$AP28)*1.287),(SUM($H28:$AP28)))</f>
        <v>0</v>
      </c>
      <c r="BS28" s="6">
        <f>$E28*'Study Information &amp; rates'!$D$101*IF('Study Information &amp; rates'!$B$44='Study Information &amp; rates'!$V$12,(SUM($H28:$AP28)*1.287),(SUM($H28:$AP28)))</f>
        <v>0</v>
      </c>
      <c r="BT28" s="6">
        <f>$F28*'Study Information &amp; rates'!$F$101*IF('Study Information &amp; rates'!$B$44='Study Information &amp; rates'!$V$12,(SUM($H28:$AP28)*1.287),(SUM($H28:$AP28)))</f>
        <v>0</v>
      </c>
    </row>
    <row r="29" spans="1:72">
      <c r="A29" s="8"/>
      <c r="B29" s="8"/>
      <c r="C29" s="326"/>
      <c r="D29" s="326"/>
      <c r="E29" s="326"/>
      <c r="F29" s="326"/>
      <c r="G29" s="532">
        <f>IF(ISERROR((C29*'Study Information &amp; rates'!$B$101+D29*'Study Information &amp; rates'!$C$101+E29*'Study Information &amp; rates'!$D$101+F29*'Study Information &amp; rates'!$F$101)),0,(C29*'Study Information &amp; rates'!$B$101+D29*'Study Information &amp; rates'!$C$101+E29*'Study Information &amp; rates'!$D$101+F29*'Study Information &amp; rates'!$F$101))</f>
        <v>0</v>
      </c>
      <c r="H29" s="327"/>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428"/>
      <c r="AR29" s="440">
        <f>(SUM(H29:AP29))*G29</f>
        <v>0</v>
      </c>
      <c r="AS29" s="440">
        <f>IF('Study Information &amp; rates'!$B$44="Yes",AR29*0.287,0)</f>
        <v>0</v>
      </c>
      <c r="AT29" s="440">
        <f>IF('Study Information &amp; rates'!$B$44="No",0,AR29*0.05)</f>
        <v>0</v>
      </c>
      <c r="AU29" s="440">
        <f>AR29+AS29+AT29</f>
        <v>0</v>
      </c>
      <c r="AV29" s="440">
        <f>'Set-up and other costs'!$B$18*AU29</f>
        <v>0</v>
      </c>
      <c r="BC29" s="2">
        <f>H29*G29</f>
        <v>0</v>
      </c>
      <c r="BD29" s="2">
        <f>IF('Study Information &amp; rates'!$B$44='Study Information &amp; rates'!$V$12,BC29*0.287,0)</f>
        <v>0</v>
      </c>
      <c r="BE29" s="2">
        <f>IF((Reconciliation!$C$15)&gt;5000,BC29*0.05,0)</f>
        <v>0</v>
      </c>
      <c r="BF29" s="2">
        <f>BC29+BD29+BE29</f>
        <v>0</v>
      </c>
      <c r="BG29" s="6" t="b">
        <f>IF($B29='Look Up'!$A$5,$H29)</f>
        <v>0</v>
      </c>
      <c r="BH29" s="6" t="b">
        <f>IF($B29='Look Up'!$A$6,$H29)</f>
        <v>0</v>
      </c>
      <c r="BI29" s="6" t="b">
        <f>IF($B29='Look Up'!$A$7,$H29)</f>
        <v>0</v>
      </c>
      <c r="BJ29" s="6" t="b">
        <f>IF($B29='Look Up'!$A$7,$H29)</f>
        <v>0</v>
      </c>
      <c r="BL29" s="6">
        <f>IF($B29='Look Up'!$A$6,$C29*$H29,0)+IF($B29='Look Up'!$A$7,$C29*$H29,0)</f>
        <v>0</v>
      </c>
      <c r="BM29" s="6">
        <f>IF($B29='Look Up'!$A$6,$D29*$H29,0)+IF($B29='Look Up'!$A$7,$D29*$H29,0)</f>
        <v>0</v>
      </c>
      <c r="BN29" s="6">
        <f>IF($B29='Look Up'!$A$6,$E29*$H29,0)+IF($B29='Look Up'!$A$7,$E29*$H29,0)</f>
        <v>0</v>
      </c>
      <c r="BO29" s="6">
        <f>IF($B29='Look Up'!$A$6,$F29*$H29,0)+IF($B29='Look Up'!$A$7,$F29*$H29,0)</f>
        <v>0</v>
      </c>
      <c r="BQ29" s="6">
        <f>$C29*'Study Information &amp; rates'!$B$101*IF('Study Information &amp; rates'!$B$44='Study Information &amp; rates'!$V$12,(SUM($H29:$AP29)*1.287),(SUM($H29:$AP29)))</f>
        <v>0</v>
      </c>
      <c r="BR29" s="6">
        <f>$D29*'Study Information &amp; rates'!$C$101*IF('Study Information &amp; rates'!$B$44='Study Information &amp; rates'!$V$12,(SUM($H29:$AP29)*1.287),(SUM($H29:$AP29)))</f>
        <v>0</v>
      </c>
      <c r="BS29" s="6">
        <f>$E29*'Study Information &amp; rates'!$D$101*IF('Study Information &amp; rates'!$B$44='Study Information &amp; rates'!$V$12,(SUM($H29:$AP29)*1.287),(SUM($H29:$AP29)))</f>
        <v>0</v>
      </c>
      <c r="BT29" s="6">
        <f>$F29*'Study Information &amp; rates'!$F$101*IF('Study Information &amp; rates'!$B$44='Study Information &amp; rates'!$V$12,(SUM($H29:$AP29)*1.287),(SUM($H29:$AP29)))</f>
        <v>0</v>
      </c>
    </row>
    <row r="30" spans="1:72">
      <c r="A30" s="8"/>
      <c r="B30" s="8"/>
      <c r="C30" s="326"/>
      <c r="D30" s="326"/>
      <c r="E30" s="326"/>
      <c r="F30" s="326"/>
      <c r="G30" s="532">
        <f>IF(ISERROR((C30*'Study Information &amp; rates'!$B$101+D30*'Study Information &amp; rates'!$C$101+E30*'Study Information &amp; rates'!$D$101+F30*'Study Information &amp; rates'!$F$101)),0,(C30*'Study Information &amp; rates'!$B$101+D30*'Study Information &amp; rates'!$C$101+E30*'Study Information &amp; rates'!$D$101+F30*'Study Information &amp; rates'!$F$101))</f>
        <v>0</v>
      </c>
      <c r="H30" s="327"/>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428"/>
      <c r="AR30" s="440">
        <f>(SUM(H30:AP30))*G30</f>
        <v>0</v>
      </c>
      <c r="AS30" s="440">
        <f>IF('Study Information &amp; rates'!$B$44="Yes",AR30*0.287,0)</f>
        <v>0</v>
      </c>
      <c r="AT30" s="440">
        <f>IF('Study Information &amp; rates'!$B$44="No",0,AR30*0.05)</f>
        <v>0</v>
      </c>
      <c r="AU30" s="440">
        <f>AR30+AS30+AT30</f>
        <v>0</v>
      </c>
      <c r="AV30" s="440">
        <f>'Set-up and other costs'!$B$18*AU30</f>
        <v>0</v>
      </c>
      <c r="BC30" s="2">
        <f>H30*G30</f>
        <v>0</v>
      </c>
      <c r="BD30" s="2">
        <f>IF('Study Information &amp; rates'!$B$44='Study Information &amp; rates'!$V$12,BC30*0.287,0)</f>
        <v>0</v>
      </c>
      <c r="BE30" s="2">
        <f>IF((Reconciliation!$C$15)&gt;5000,BC30*0.05,0)</f>
        <v>0</v>
      </c>
      <c r="BF30" s="2">
        <f>BC30+BD30+BE30</f>
        <v>0</v>
      </c>
      <c r="BG30" s="6" t="b">
        <f>IF($B30='Look Up'!$A$5,$H30)</f>
        <v>0</v>
      </c>
      <c r="BH30" s="6" t="b">
        <f>IF($B30='Look Up'!$A$6,$H30)</f>
        <v>0</v>
      </c>
      <c r="BI30" s="6" t="b">
        <f>IF($B30='Look Up'!$A$7,$H30)</f>
        <v>0</v>
      </c>
      <c r="BJ30" s="6" t="b">
        <f>IF($B30='Look Up'!$A$7,$H30)</f>
        <v>0</v>
      </c>
      <c r="BL30" s="6">
        <f>IF($B30='Look Up'!$A$6,$C30*$H30,0)+IF($B30='Look Up'!$A$7,$C30*$H30,0)</f>
        <v>0</v>
      </c>
      <c r="BM30" s="6">
        <f>IF($B30='Look Up'!$A$6,$D30*$H30,0)+IF($B30='Look Up'!$A$7,$D30*$H30,0)</f>
        <v>0</v>
      </c>
      <c r="BN30" s="6">
        <f>IF($B30='Look Up'!$A$6,$E30*$H30,0)+IF($B30='Look Up'!$A$7,$E30*$H30,0)</f>
        <v>0</v>
      </c>
      <c r="BO30" s="6">
        <f>IF($B30='Look Up'!$A$6,$F30*$H30,0)+IF($B30='Look Up'!$A$7,$F30*$H30,0)</f>
        <v>0</v>
      </c>
      <c r="BQ30" s="6">
        <f>$C30*'Study Information &amp; rates'!$B$101*IF('Study Information &amp; rates'!$B$44='Study Information &amp; rates'!$V$12,(SUM($H30:$AP30)*1.287),(SUM($H30:$AP30)))</f>
        <v>0</v>
      </c>
      <c r="BR30" s="6">
        <f>$D30*'Study Information &amp; rates'!$C$101*IF('Study Information &amp; rates'!$B$44='Study Information &amp; rates'!$V$12,(SUM($H30:$AP30)*1.287),(SUM($H30:$AP30)))</f>
        <v>0</v>
      </c>
      <c r="BS30" s="6">
        <f>$E30*'Study Information &amp; rates'!$D$101*IF('Study Information &amp; rates'!$B$44='Study Information &amp; rates'!$V$12,(SUM($H30:$AP30)*1.287),(SUM($H30:$AP30)))</f>
        <v>0</v>
      </c>
      <c r="BT30" s="6">
        <f>$F30*'Study Information &amp; rates'!$F$101*IF('Study Information &amp; rates'!$B$44='Study Information &amp; rates'!$V$12,(SUM($H30:$AP30)*1.287),(SUM($H30:$AP30)))</f>
        <v>0</v>
      </c>
    </row>
    <row r="31" spans="1:72">
      <c r="A31" s="8"/>
      <c r="B31" s="8"/>
      <c r="C31" s="326"/>
      <c r="D31" s="326"/>
      <c r="E31" s="326"/>
      <c r="F31" s="326"/>
      <c r="G31" s="532">
        <f>IF(ISERROR((C31*'Study Information &amp; rates'!$B$101+D31*'Study Information &amp; rates'!$C$101+E31*'Study Information &amp; rates'!$D$101+F31*'Study Information &amp; rates'!$F$101)),0,(C31*'Study Information &amp; rates'!$B$101+D31*'Study Information &amp; rates'!$C$101+E31*'Study Information &amp; rates'!$D$101+F31*'Study Information &amp; rates'!$F$101))</f>
        <v>0</v>
      </c>
      <c r="H31" s="327"/>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428"/>
      <c r="AR31" s="440">
        <f>(SUM(H31:AP31))*G31</f>
        <v>0</v>
      </c>
      <c r="AS31" s="440">
        <f>IF('Study Information &amp; rates'!$B$44="Yes",AR31*0.287,0)</f>
        <v>0</v>
      </c>
      <c r="AT31" s="440">
        <f>IF('Study Information &amp; rates'!$B$44="No",0,AR31*0.05)</f>
        <v>0</v>
      </c>
      <c r="AU31" s="440">
        <f>AR31+AS31+AT31</f>
        <v>0</v>
      </c>
      <c r="AV31" s="440">
        <f>'Set-up and other costs'!$B$18*AU31</f>
        <v>0</v>
      </c>
      <c r="BC31" s="2">
        <f>H31*G31</f>
        <v>0</v>
      </c>
      <c r="BD31" s="2">
        <f>IF('Study Information &amp; rates'!$B$44='Study Information &amp; rates'!$V$12,BC31*0.287,0)</f>
        <v>0</v>
      </c>
      <c r="BE31" s="2">
        <f>IF((Reconciliation!$C$15)&gt;5000,BC31*0.05,0)</f>
        <v>0</v>
      </c>
      <c r="BF31" s="2">
        <f>BC31+BD31+BE31</f>
        <v>0</v>
      </c>
      <c r="BG31" s="6" t="b">
        <f>IF($B31='Look Up'!$A$5,$H31)</f>
        <v>0</v>
      </c>
      <c r="BH31" s="6" t="b">
        <f>IF($B31='Look Up'!$A$6,$H31)</f>
        <v>0</v>
      </c>
      <c r="BI31" s="6" t="b">
        <f>IF($B31='Look Up'!$A$7,$H31)</f>
        <v>0</v>
      </c>
      <c r="BJ31" s="6" t="b">
        <f>IF($B31='Look Up'!$A$7,$H31)</f>
        <v>0</v>
      </c>
      <c r="BL31" s="6">
        <f>IF($B31='Look Up'!$A$6,$C31*$H31,0)+IF($B31='Look Up'!$A$7,$C31*$H31,0)</f>
        <v>0</v>
      </c>
      <c r="BM31" s="6">
        <f>IF($B31='Look Up'!$A$6,$D31*$H31,0)+IF($B31='Look Up'!$A$7,$D31*$H31,0)</f>
        <v>0</v>
      </c>
      <c r="BN31" s="6">
        <f>IF($B31='Look Up'!$A$6,$E31*$H31,0)+IF($B31='Look Up'!$A$7,$E31*$H31,0)</f>
        <v>0</v>
      </c>
      <c r="BO31" s="6">
        <f>IF($B31='Look Up'!$A$6,$F31*$H31,0)+IF($B31='Look Up'!$A$7,$F31*$H31,0)</f>
        <v>0</v>
      </c>
      <c r="BQ31" s="6">
        <f>$C31*'Study Information &amp; rates'!$B$101*IF('Study Information &amp; rates'!$B$44='Study Information &amp; rates'!$V$12,(SUM($H31:$AP31)*1.287),(SUM($H31:$AP31)))</f>
        <v>0</v>
      </c>
      <c r="BR31" s="6">
        <f>$D31*'Study Information &amp; rates'!$C$101*IF('Study Information &amp; rates'!$B$44='Study Information &amp; rates'!$V$12,(SUM($H31:$AP31)*1.287),(SUM($H31:$AP31)))</f>
        <v>0</v>
      </c>
      <c r="BS31" s="6">
        <f>$E31*'Study Information &amp; rates'!$D$101*IF('Study Information &amp; rates'!$B$44='Study Information &amp; rates'!$V$12,(SUM($H31:$AP31)*1.287),(SUM($H31:$AP31)))</f>
        <v>0</v>
      </c>
      <c r="BT31" s="6">
        <f>$F31*'Study Information &amp; rates'!$F$101*IF('Study Information &amp; rates'!$B$44='Study Information &amp; rates'!$V$12,(SUM($H31:$AP31)*1.287),(SUM($H31:$AP31)))</f>
        <v>0</v>
      </c>
    </row>
    <row r="32" spans="1:72">
      <c r="A32" s="8"/>
      <c r="B32" s="8"/>
      <c r="C32" s="326"/>
      <c r="D32" s="326"/>
      <c r="E32" s="326"/>
      <c r="F32" s="326"/>
      <c r="G32" s="532">
        <f>IF(ISERROR((C32*'Study Information &amp; rates'!$B$101+D32*'Study Information &amp; rates'!$C$101+E32*'Study Information &amp; rates'!$D$101+F32*'Study Information &amp; rates'!$F$101)),0,(C32*'Study Information &amp; rates'!$B$101+D32*'Study Information &amp; rates'!$C$101+E32*'Study Information &amp; rates'!$D$101+F32*'Study Information &amp; rates'!$F$101))</f>
        <v>0</v>
      </c>
      <c r="H32" s="327"/>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428"/>
      <c r="AR32" s="440">
        <f>(SUM(H32:AP32))*G32</f>
        <v>0</v>
      </c>
      <c r="AS32" s="440">
        <f>IF('Study Information &amp; rates'!$B$44="Yes",AR32*0.287,0)</f>
        <v>0</v>
      </c>
      <c r="AT32" s="440">
        <f>IF('Study Information &amp; rates'!$B$44="No",0,AR32*0.05)</f>
        <v>0</v>
      </c>
      <c r="AU32" s="440">
        <f>AR32+AS32+AT32</f>
        <v>0</v>
      </c>
      <c r="AV32" s="440">
        <f>'Set-up and other costs'!$B$18*AU32</f>
        <v>0</v>
      </c>
      <c r="BC32" s="2">
        <f>H32*G32</f>
        <v>0</v>
      </c>
      <c r="BD32" s="2">
        <f>IF('Study Information &amp; rates'!$B$44='Study Information &amp; rates'!$V$12,BC32*0.287,0)</f>
        <v>0</v>
      </c>
      <c r="BE32" s="2">
        <f>IF((Reconciliation!$C$15)&gt;5000,BC32*0.05,0)</f>
        <v>0</v>
      </c>
      <c r="BF32" s="2">
        <f>BC32+BD32+BE32</f>
        <v>0</v>
      </c>
      <c r="BG32" s="6" t="b">
        <f>IF($B32='Look Up'!$A$5,$H32)</f>
        <v>0</v>
      </c>
      <c r="BH32" s="6" t="b">
        <f>IF($B32='Look Up'!$A$6,$H32)</f>
        <v>0</v>
      </c>
      <c r="BI32" s="6" t="b">
        <f>IF($B32='Look Up'!$A$7,$H32)</f>
        <v>0</v>
      </c>
      <c r="BJ32" s="6" t="b">
        <f>IF($B32='Look Up'!$A$7,$H32)</f>
        <v>0</v>
      </c>
      <c r="BL32" s="6">
        <f>IF($B32='Look Up'!$A$6,$C32*$H32,0)+IF($B32='Look Up'!$A$7,$C32*$H32,0)</f>
        <v>0</v>
      </c>
      <c r="BM32" s="6">
        <f>IF($B32='Look Up'!$A$6,$D32*$H32,0)+IF($B32='Look Up'!$A$7,$D32*$H32,0)</f>
        <v>0</v>
      </c>
      <c r="BN32" s="6">
        <f>IF($B32='Look Up'!$A$6,$E32*$H32,0)+IF($B32='Look Up'!$A$7,$E32*$H32,0)</f>
        <v>0</v>
      </c>
      <c r="BO32" s="6">
        <f>IF($B32='Look Up'!$A$6,$F32*$H32,0)+IF($B32='Look Up'!$A$7,$F32*$H32,0)</f>
        <v>0</v>
      </c>
      <c r="BQ32" s="6">
        <f>$C32*'Study Information &amp; rates'!$B$101*IF('Study Information &amp; rates'!$B$44='Study Information &amp; rates'!$V$12,(SUM($H32:$AP32)*1.287),(SUM($H32:$AP32)))</f>
        <v>0</v>
      </c>
      <c r="BR32" s="6">
        <f>$D32*'Study Information &amp; rates'!$C$101*IF('Study Information &amp; rates'!$B$44='Study Information &amp; rates'!$V$12,(SUM($H32:$AP32)*1.287),(SUM($H32:$AP32)))</f>
        <v>0</v>
      </c>
      <c r="BS32" s="6">
        <f>$E32*'Study Information &amp; rates'!$D$101*IF('Study Information &amp; rates'!$B$44='Study Information &amp; rates'!$V$12,(SUM($H32:$AP32)*1.287),(SUM($H32:$AP32)))</f>
        <v>0</v>
      </c>
      <c r="BT32" s="6">
        <f>$F32*'Study Information &amp; rates'!$F$101*IF('Study Information &amp; rates'!$B$44='Study Information &amp; rates'!$V$12,(SUM($H32:$AP32)*1.287),(SUM($H32:$AP32)))</f>
        <v>0</v>
      </c>
    </row>
    <row r="33" spans="1:72">
      <c r="A33" s="8"/>
      <c r="B33" s="8"/>
      <c r="C33" s="326"/>
      <c r="D33" s="326"/>
      <c r="E33" s="326"/>
      <c r="F33" s="326"/>
      <c r="G33" s="532">
        <f>IF(ISERROR((C33*'Study Information &amp; rates'!$B$101+D33*'Study Information &amp; rates'!$C$101+E33*'Study Information &amp; rates'!$D$101+F33*'Study Information &amp; rates'!$F$101)),0,(C33*'Study Information &amp; rates'!$B$101+D33*'Study Information &amp; rates'!$C$101+E33*'Study Information &amp; rates'!$D$101+F33*'Study Information &amp; rates'!$F$101))</f>
        <v>0</v>
      </c>
      <c r="H33" s="327"/>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428"/>
      <c r="AR33" s="440">
        <f>(SUM(H33:AP33))*G33</f>
        <v>0</v>
      </c>
      <c r="AS33" s="440">
        <f>IF('Study Information &amp; rates'!$B$44="Yes",AR33*0.287,0)</f>
        <v>0</v>
      </c>
      <c r="AT33" s="440">
        <f>IF('Study Information &amp; rates'!$B$44="No",0,AR33*0.05)</f>
        <v>0</v>
      </c>
      <c r="AU33" s="440">
        <f>AR33+AS33+AT33</f>
        <v>0</v>
      </c>
      <c r="AV33" s="440">
        <f>'Set-up and other costs'!$B$18*AU33</f>
        <v>0</v>
      </c>
      <c r="BC33" s="2">
        <f>H33*G33</f>
        <v>0</v>
      </c>
      <c r="BD33" s="2">
        <f>IF('Study Information &amp; rates'!$B$44='Study Information &amp; rates'!$V$12,BC33*0.287,0)</f>
        <v>0</v>
      </c>
      <c r="BE33" s="2">
        <f>IF((Reconciliation!$C$15)&gt;5000,BC33*0.05,0)</f>
        <v>0</v>
      </c>
      <c r="BF33" s="2">
        <f>BC33+BD33+BE33</f>
        <v>0</v>
      </c>
      <c r="BG33" s="6" t="b">
        <f>IF($B33='Look Up'!$A$5,$H33)</f>
        <v>0</v>
      </c>
      <c r="BH33" s="6" t="b">
        <f>IF($B33='Look Up'!$A$6,$H33)</f>
        <v>0</v>
      </c>
      <c r="BI33" s="6" t="b">
        <f>IF($B33='Look Up'!$A$7,$H33)</f>
        <v>0</v>
      </c>
      <c r="BJ33" s="6" t="b">
        <f>IF($B33='Look Up'!$A$7,$H33)</f>
        <v>0</v>
      </c>
      <c r="BL33" s="6">
        <f>IF($B33='Look Up'!$A$6,$C33*$H33,0)+IF($B33='Look Up'!$A$7,$C33*$H33,0)</f>
        <v>0</v>
      </c>
      <c r="BM33" s="6">
        <f>IF($B33='Look Up'!$A$6,$D33*$H33,0)+IF($B33='Look Up'!$A$7,$D33*$H33,0)</f>
        <v>0</v>
      </c>
      <c r="BN33" s="6">
        <f>IF($B33='Look Up'!$A$6,$E33*$H33,0)+IF($B33='Look Up'!$A$7,$E33*$H33,0)</f>
        <v>0</v>
      </c>
      <c r="BO33" s="6">
        <f>IF($B33='Look Up'!$A$6,$F33*$H33,0)+IF($B33='Look Up'!$A$7,$F33*$H33,0)</f>
        <v>0</v>
      </c>
      <c r="BQ33" s="6">
        <f>$C33*'Study Information &amp; rates'!$B$101*IF('Study Information &amp; rates'!$B$44='Study Information &amp; rates'!$V$12,(SUM($H33:$AP33)*1.287),(SUM($H33:$AP33)))</f>
        <v>0</v>
      </c>
      <c r="BR33" s="6">
        <f>$D33*'Study Information &amp; rates'!$C$101*IF('Study Information &amp; rates'!$B$44='Study Information &amp; rates'!$V$12,(SUM($H33:$AP33)*1.287),(SUM($H33:$AP33)))</f>
        <v>0</v>
      </c>
      <c r="BS33" s="6">
        <f>$E33*'Study Information &amp; rates'!$D$101*IF('Study Information &amp; rates'!$B$44='Study Information &amp; rates'!$V$12,(SUM($H33:$AP33)*1.287),(SUM($H33:$AP33)))</f>
        <v>0</v>
      </c>
      <c r="BT33" s="6">
        <f>$F33*'Study Information &amp; rates'!$F$101*IF('Study Information &amp; rates'!$B$44='Study Information &amp; rates'!$V$12,(SUM($H33:$AP33)*1.287),(SUM($H33:$AP33)))</f>
        <v>0</v>
      </c>
    </row>
    <row r="34" spans="1:72">
      <c r="A34" s="8"/>
      <c r="B34" s="8"/>
      <c r="C34" s="326"/>
      <c r="D34" s="326"/>
      <c r="E34" s="326"/>
      <c r="F34" s="326"/>
      <c r="G34" s="532">
        <f>IF(ISERROR((C34*'Study Information &amp; rates'!$B$101+D34*'Study Information &amp; rates'!$C$101+E34*'Study Information &amp; rates'!$D$101+F34*'Study Information &amp; rates'!$F$101)),0,(C34*'Study Information &amp; rates'!$B$101+D34*'Study Information &amp; rates'!$C$101+E34*'Study Information &amp; rates'!$D$101+F34*'Study Information &amp; rates'!$F$101))</f>
        <v>0</v>
      </c>
      <c r="H34" s="327"/>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428"/>
      <c r="AR34" s="440">
        <f>(SUM(H34:AP34))*G34</f>
        <v>0</v>
      </c>
      <c r="AS34" s="440">
        <f>IF('Study Information &amp; rates'!$B$44="Yes",AR34*0.287,0)</f>
        <v>0</v>
      </c>
      <c r="AT34" s="440">
        <f>IF('Study Information &amp; rates'!$B$44="No",0,AR34*0.05)</f>
        <v>0</v>
      </c>
      <c r="AU34" s="440">
        <f>AR34+AS34+AT34</f>
        <v>0</v>
      </c>
      <c r="AV34" s="440">
        <f>'Set-up and other costs'!$B$18*AU34</f>
        <v>0</v>
      </c>
      <c r="BC34" s="2">
        <f>H34*G34</f>
        <v>0</v>
      </c>
      <c r="BD34" s="2">
        <f>IF('Study Information &amp; rates'!$B$44='Study Information &amp; rates'!$V$12,BC34*0.287,0)</f>
        <v>0</v>
      </c>
      <c r="BE34" s="2">
        <f>IF((Reconciliation!$C$15)&gt;5000,BC34*0.05,0)</f>
        <v>0</v>
      </c>
      <c r="BF34" s="2">
        <f>BC34+BD34+BE34</f>
        <v>0</v>
      </c>
      <c r="BG34" s="6" t="b">
        <f>IF($B34='Look Up'!$A$5,$H34)</f>
        <v>0</v>
      </c>
      <c r="BH34" s="6" t="b">
        <f>IF($B34='Look Up'!$A$6,$H34)</f>
        <v>0</v>
      </c>
      <c r="BI34" s="6" t="b">
        <f>IF($B34='Look Up'!$A$7,$H34)</f>
        <v>0</v>
      </c>
      <c r="BJ34" s="6" t="b">
        <f>IF($B34='Look Up'!$A$7,$H34)</f>
        <v>0</v>
      </c>
      <c r="BL34" s="6">
        <f>IF($B34='Look Up'!$A$6,$C34*$H34,0)+IF($B34='Look Up'!$A$7,$C34*$H34,0)</f>
        <v>0</v>
      </c>
      <c r="BM34" s="6">
        <f>IF($B34='Look Up'!$A$6,$D34*$H34,0)+IF($B34='Look Up'!$A$7,$D34*$H34,0)</f>
        <v>0</v>
      </c>
      <c r="BN34" s="6">
        <f>IF($B34='Look Up'!$A$6,$E34*$H34,0)+IF($B34='Look Up'!$A$7,$E34*$H34,0)</f>
        <v>0</v>
      </c>
      <c r="BO34" s="6">
        <f>IF($B34='Look Up'!$A$6,$F34*$H34,0)+IF($B34='Look Up'!$A$7,$F34*$H34,0)</f>
        <v>0</v>
      </c>
      <c r="BQ34" s="6">
        <f>$C34*'Study Information &amp; rates'!$B$101*IF('Study Information &amp; rates'!$B$44='Study Information &amp; rates'!$V$12,(SUM($H34:$AP34)*1.287),(SUM($H34:$AP34)))</f>
        <v>0</v>
      </c>
      <c r="BR34" s="6">
        <f>$D34*'Study Information &amp; rates'!$C$101*IF('Study Information &amp; rates'!$B$44='Study Information &amp; rates'!$V$12,(SUM($H34:$AP34)*1.287),(SUM($H34:$AP34)))</f>
        <v>0</v>
      </c>
      <c r="BS34" s="6">
        <f>$E34*'Study Information &amp; rates'!$D$101*IF('Study Information &amp; rates'!$B$44='Study Information &amp; rates'!$V$12,(SUM($H34:$AP34)*1.287),(SUM($H34:$AP34)))</f>
        <v>0</v>
      </c>
      <c r="BT34" s="6">
        <f>$F34*'Study Information &amp; rates'!$F$101*IF('Study Information &amp; rates'!$B$44='Study Information &amp; rates'!$V$12,(SUM($H34:$AP34)*1.287),(SUM($H34:$AP34)))</f>
        <v>0</v>
      </c>
    </row>
    <row r="35" spans="1:72">
      <c r="A35" s="8"/>
      <c r="B35" s="8"/>
      <c r="C35" s="326"/>
      <c r="D35" s="326"/>
      <c r="E35" s="326"/>
      <c r="F35" s="326"/>
      <c r="G35" s="532">
        <f>IF(ISERROR((C35*'Study Information &amp; rates'!$B$101+D35*'Study Information &amp; rates'!$C$101+E35*'Study Information &amp; rates'!$D$101+F35*'Study Information &amp; rates'!$F$101)),0,(C35*'Study Information &amp; rates'!$B$101+D35*'Study Information &amp; rates'!$C$101+E35*'Study Information &amp; rates'!$D$101+F35*'Study Information &amp; rates'!$F$101))</f>
        <v>0</v>
      </c>
      <c r="H35" s="327"/>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428"/>
      <c r="AR35" s="440">
        <f>(SUM(H35:AP35))*G35</f>
        <v>0</v>
      </c>
      <c r="AS35" s="440">
        <f>IF('Study Information &amp; rates'!$B$44="Yes",AR35*0.287,0)</f>
        <v>0</v>
      </c>
      <c r="AT35" s="440">
        <f>IF('Study Information &amp; rates'!$B$44="No",0,AR35*0.05)</f>
        <v>0</v>
      </c>
      <c r="AU35" s="440">
        <f>AR35+AS35+AT35</f>
        <v>0</v>
      </c>
      <c r="AV35" s="440">
        <f>'Set-up and other costs'!$B$18*AU35</f>
        <v>0</v>
      </c>
      <c r="BC35" s="2">
        <f>H35*G35</f>
        <v>0</v>
      </c>
      <c r="BD35" s="2">
        <f>IF('Study Information &amp; rates'!$B$44='Study Information &amp; rates'!$V$12,BC35*0.287,0)</f>
        <v>0</v>
      </c>
      <c r="BE35" s="2">
        <f>IF((Reconciliation!$C$15)&gt;5000,BC35*0.05,0)</f>
        <v>0</v>
      </c>
      <c r="BF35" s="2">
        <f>BC35+BD35+BE35</f>
        <v>0</v>
      </c>
      <c r="BG35" s="6" t="b">
        <f>IF($B35='Look Up'!$A$5,$H35)</f>
        <v>0</v>
      </c>
      <c r="BH35" s="6" t="b">
        <f>IF($B35='Look Up'!$A$6,$H35)</f>
        <v>0</v>
      </c>
      <c r="BI35" s="6" t="b">
        <f>IF($B35='Look Up'!$A$7,$H35)</f>
        <v>0</v>
      </c>
      <c r="BJ35" s="6" t="b">
        <f>IF($B35='Look Up'!$A$7,$H35)</f>
        <v>0</v>
      </c>
      <c r="BL35" s="6">
        <f>IF($B35='Look Up'!$A$6,$C35*$H35,0)+IF($B35='Look Up'!$A$7,$C35*$H35,0)</f>
        <v>0</v>
      </c>
      <c r="BM35" s="6">
        <f>IF($B35='Look Up'!$A$6,$D35*$H35,0)+IF($B35='Look Up'!$A$7,$D35*$H35,0)</f>
        <v>0</v>
      </c>
      <c r="BN35" s="6">
        <f>IF($B35='Look Up'!$A$6,$E35*$H35,0)+IF($B35='Look Up'!$A$7,$E35*$H35,0)</f>
        <v>0</v>
      </c>
      <c r="BO35" s="6">
        <f>IF($B35='Look Up'!$A$6,$F35*$H35,0)+IF($B35='Look Up'!$A$7,$F35*$H35,0)</f>
        <v>0</v>
      </c>
      <c r="BQ35" s="6">
        <f>$C35*'Study Information &amp; rates'!$B$101*IF('Study Information &amp; rates'!$B$44='Study Information &amp; rates'!$V$12,(SUM($H35:$AP35)*1.287),(SUM($H35:$AP35)))</f>
        <v>0</v>
      </c>
      <c r="BR35" s="6">
        <f>$D35*'Study Information &amp; rates'!$C$101*IF('Study Information &amp; rates'!$B$44='Study Information &amp; rates'!$V$12,(SUM($H35:$AP35)*1.287),(SUM($H35:$AP35)))</f>
        <v>0</v>
      </c>
      <c r="BS35" s="6">
        <f>$E35*'Study Information &amp; rates'!$D$101*IF('Study Information &amp; rates'!$B$44='Study Information &amp; rates'!$V$12,(SUM($H35:$AP35)*1.287),(SUM($H35:$AP35)))</f>
        <v>0</v>
      </c>
      <c r="BT35" s="6">
        <f>$F35*'Study Information &amp; rates'!$F$101*IF('Study Information &amp; rates'!$B$44='Study Information &amp; rates'!$V$12,(SUM($H35:$AP35)*1.287),(SUM($H35:$AP35)))</f>
        <v>0</v>
      </c>
    </row>
    <row r="36" spans="1:72">
      <c r="A36" s="8"/>
      <c r="B36" s="8"/>
      <c r="C36" s="326"/>
      <c r="D36" s="326"/>
      <c r="E36" s="326"/>
      <c r="F36" s="326"/>
      <c r="G36" s="532">
        <f>IF(ISERROR((C36*'Study Information &amp; rates'!$B$101+D36*'Study Information &amp; rates'!$C$101+E36*'Study Information &amp; rates'!$D$101+F36*'Study Information &amp; rates'!$F$101)),0,(C36*'Study Information &amp; rates'!$B$101+D36*'Study Information &amp; rates'!$C$101+E36*'Study Information &amp; rates'!$D$101+F36*'Study Information &amp; rates'!$F$101))</f>
        <v>0</v>
      </c>
      <c r="H36" s="327"/>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428"/>
      <c r="AR36" s="440">
        <f>(SUM(H36:AP36))*G36</f>
        <v>0</v>
      </c>
      <c r="AS36" s="440">
        <f>IF('Study Information &amp; rates'!$B$44="Yes",AR36*0.287,0)</f>
        <v>0</v>
      </c>
      <c r="AT36" s="440">
        <f>IF('Study Information &amp; rates'!$B$44="No",0,AR36*0.05)</f>
        <v>0</v>
      </c>
      <c r="AU36" s="440">
        <f>AR36+AS36+AT36</f>
        <v>0</v>
      </c>
      <c r="AV36" s="440">
        <f>'Set-up and other costs'!$B$18*AU36</f>
        <v>0</v>
      </c>
      <c r="BC36" s="2">
        <f>H36*G36</f>
        <v>0</v>
      </c>
      <c r="BD36" s="2">
        <f>IF('Study Information &amp; rates'!$B$44='Study Information &amp; rates'!$V$12,BC36*0.287,0)</f>
        <v>0</v>
      </c>
      <c r="BE36" s="2">
        <f>IF((Reconciliation!$C$5*1.287)&gt;5000,BC36*0.05,0)</f>
        <v>0</v>
      </c>
      <c r="BF36" s="2">
        <f>BC36+BD36+BE36</f>
        <v>0</v>
      </c>
      <c r="BG36" s="6" t="b">
        <f>IF($B36='Look Up'!$A$5,$H36)</f>
        <v>0</v>
      </c>
      <c r="BH36" s="6" t="b">
        <f>IF($B36='Look Up'!$A$6,$H36)</f>
        <v>0</v>
      </c>
      <c r="BI36" s="6" t="b">
        <f>IF($B36='Look Up'!$A$7,$H36)</f>
        <v>0</v>
      </c>
      <c r="BJ36" s="6" t="b">
        <f>IF($B36='Look Up'!$A$7,$H36)</f>
        <v>0</v>
      </c>
      <c r="BL36" s="6">
        <f>IF($B36='[7]Look Up'!$A$6,$C36*$H36,0)+IF($B36='[7]Look Up'!$A$7,$C36*$H36,0)</f>
        <v>0</v>
      </c>
      <c r="BM36" s="6">
        <f>IF($B36='[7]Look Up'!$A$6,$D36*$H36,0)+IF($B36='[7]Look Up'!$A$7,$D36*$H36,0)</f>
        <v>0</v>
      </c>
      <c r="BN36" s="6">
        <f>IF($B36='[7]Look Up'!$A$6,$E36*$H36,0)+IF($B36='[7]Look Up'!$A$7,$E36*$H36,0)</f>
        <v>0</v>
      </c>
      <c r="BO36" s="6">
        <f>IF($B36='[7]Look Up'!$A$6,$F36*$H36,0)+IF($B36='[7]Look Up'!$A$7,$F36*$H36,0)</f>
        <v>0</v>
      </c>
      <c r="BQ36" s="6">
        <f>$C36*'Study Information &amp; rates'!$B$101*IF('Study Information &amp; rates'!$B$44='Study Information &amp; rates'!$V$12,(SUM($H36:$AP36)*1.287),(SUM($H36:$AP36)))</f>
        <v>0</v>
      </c>
      <c r="BR36" s="6">
        <f>$D36*'Study Information &amp; rates'!$C$101*IF('Study Information &amp; rates'!$B$44='Study Information &amp; rates'!$V$12,(SUM($H36:$AP36)*1.287),(SUM($H36:$AP36)))</f>
        <v>0</v>
      </c>
      <c r="BS36" s="6">
        <f>$E36*'Study Information &amp; rates'!$D$101*IF('Study Information &amp; rates'!$B$44='Study Information &amp; rates'!$V$12,(SUM($H36:$AP36)*1.287),(SUM($H36:$AP36)))</f>
        <v>0</v>
      </c>
      <c r="BT36" s="6">
        <f>$F36*'Study Information &amp; rates'!$F$101*IF('Study Information &amp; rates'!$B$44='Study Information &amp; rates'!$V$12,(SUM($H36:$AP36)*1.287),(SUM($H36:$AP36)))</f>
        <v>0</v>
      </c>
    </row>
    <row r="37" spans="1:72">
      <c r="A37" s="8"/>
      <c r="B37" s="8"/>
      <c r="C37" s="326"/>
      <c r="D37" s="326"/>
      <c r="E37" s="326"/>
      <c r="F37" s="326"/>
      <c r="G37" s="532">
        <f>IF(ISERROR((C37*'Study Information &amp; rates'!$B$101+D37*'Study Information &amp; rates'!$C$101+E37*'Study Information &amp; rates'!$D$101+F37*'Study Information &amp; rates'!$F$101)),0,(C37*'Study Information &amp; rates'!$B$101+D37*'Study Information &amp; rates'!$C$101+E37*'Study Information &amp; rates'!$D$101+F37*'Study Information &amp; rates'!$F$101))</f>
        <v>0</v>
      </c>
      <c r="H37" s="32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428"/>
      <c r="AR37" s="440">
        <f>(SUM(H37:AP37))*G37</f>
        <v>0</v>
      </c>
      <c r="AS37" s="440">
        <f>IF('Study Information &amp; rates'!$B$44="Yes",AR37*0.287,0)</f>
        <v>0</v>
      </c>
      <c r="AT37" s="440">
        <f>IF('Study Information &amp; rates'!$B$44="No",0,AR37*0.05)</f>
        <v>0</v>
      </c>
      <c r="AU37" s="440">
        <f>AR37+AS37+AT37</f>
        <v>0</v>
      </c>
      <c r="AV37" s="440">
        <f>'Set-up and other costs'!$B$18*AU37</f>
        <v>0</v>
      </c>
      <c r="BC37" s="2">
        <f>H37*G37</f>
        <v>0</v>
      </c>
      <c r="BD37" s="2">
        <f>IF('Study Information &amp; rates'!$B$44='Study Information &amp; rates'!$V$12,BC37*0.287,0)</f>
        <v>0</v>
      </c>
      <c r="BE37" s="2">
        <f>IF((Reconciliation!$C$5*1.287)&gt;5000,BC37*0.05,0)</f>
        <v>0</v>
      </c>
      <c r="BF37" s="2">
        <f>BC37+BD37+BE37</f>
        <v>0</v>
      </c>
      <c r="BG37" s="6" t="b">
        <f>IF($B37='Look Up'!$A$5,$H37)</f>
        <v>0</v>
      </c>
      <c r="BH37" s="6" t="b">
        <f>IF($B37='Look Up'!$A$6,$H37)</f>
        <v>0</v>
      </c>
      <c r="BI37" s="6" t="b">
        <f>IF($B37='Look Up'!$A$7,$H37)</f>
        <v>0</v>
      </c>
      <c r="BJ37" s="6" t="b">
        <f>IF($B37='Look Up'!$A$7,$H37)</f>
        <v>0</v>
      </c>
      <c r="BL37" s="6">
        <f>IF($B37='[7]Look Up'!$A$6,$C37*$H37,0)+IF($B37='[7]Look Up'!$A$7,$C37*$H37,0)</f>
        <v>0</v>
      </c>
      <c r="BM37" s="6">
        <f>IF($B37='[7]Look Up'!$A$6,$D37*$H37,0)+IF($B37='[7]Look Up'!$A$7,$D37*$H37,0)</f>
        <v>0</v>
      </c>
      <c r="BN37" s="6">
        <f>IF($B37='[7]Look Up'!$A$6,$E37*$H37,0)+IF($B37='[7]Look Up'!$A$7,$E37*$H37,0)</f>
        <v>0</v>
      </c>
      <c r="BO37" s="6">
        <f>IF($B37='[7]Look Up'!$A$6,$F37*$H37,0)+IF($B37='[7]Look Up'!$A$7,$F37*$H37,0)</f>
        <v>0</v>
      </c>
      <c r="BQ37" s="6">
        <f>$C37*'Study Information &amp; rates'!$B$101*IF('Study Information &amp; rates'!$B$44='Study Information &amp; rates'!$V$12,(SUM($H37:$AP37)*1.287),(SUM($H37:$AP37)))</f>
        <v>0</v>
      </c>
      <c r="BR37" s="6">
        <f>$D37*'Study Information &amp; rates'!$C$101*IF('Study Information &amp; rates'!$B$44='Study Information &amp; rates'!$V$12,(SUM($H37:$AP37)*1.287),(SUM($H37:$AP37)))</f>
        <v>0</v>
      </c>
      <c r="BS37" s="6">
        <f>$E37*'Study Information &amp; rates'!$D$101*IF('Study Information &amp; rates'!$B$44='Study Information &amp; rates'!$V$12,(SUM($H37:$AP37)*1.287),(SUM($H37:$AP37)))</f>
        <v>0</v>
      </c>
      <c r="BT37" s="6">
        <f>$F37*'Study Information &amp; rates'!$F$101*IF('Study Information &amp; rates'!$B$44='Study Information &amp; rates'!$V$12,(SUM($H37:$AP37)*1.287),(SUM($H37:$AP37)))</f>
        <v>0</v>
      </c>
    </row>
    <row r="38" spans="1:72">
      <c r="A38" s="8"/>
      <c r="B38" s="8"/>
      <c r="C38" s="326"/>
      <c r="D38" s="326"/>
      <c r="E38" s="326"/>
      <c r="F38" s="326"/>
      <c r="G38" s="532">
        <f>IF(ISERROR((C38*'Study Information &amp; rates'!$B$101+D38*'Study Information &amp; rates'!$C$101+E38*'Study Information &amp; rates'!$D$101+F38*'Study Information &amp; rates'!$F$101)),0,(C38*'Study Information &amp; rates'!$B$101+D38*'Study Information &amp; rates'!$C$101+E38*'Study Information &amp; rates'!$D$101+F38*'Study Information &amp; rates'!$F$101))</f>
        <v>0</v>
      </c>
      <c r="H38" s="32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428"/>
      <c r="AR38" s="440">
        <f>(SUM(H38:AP38))*G38</f>
        <v>0</v>
      </c>
      <c r="AS38" s="440">
        <f>IF('Study Information &amp; rates'!$B$44="Yes",AR38*0.287,0)</f>
        <v>0</v>
      </c>
      <c r="AT38" s="440">
        <f>IF('Study Information &amp; rates'!$B$44="No",0,AR38*0.05)</f>
        <v>0</v>
      </c>
      <c r="AU38" s="440">
        <f>AR38+AS38+AT38</f>
        <v>0</v>
      </c>
      <c r="AV38" s="440">
        <f>'Set-up and other costs'!$B$18*AU38</f>
        <v>0</v>
      </c>
      <c r="BC38" s="2">
        <f>H38*G38</f>
        <v>0</v>
      </c>
      <c r="BD38" s="2">
        <f>IF('Study Information &amp; rates'!$B$44='Study Information &amp; rates'!$V$12,BC38*0.287,0)</f>
        <v>0</v>
      </c>
      <c r="BE38" s="2">
        <f>IF((Reconciliation!$C$5*1.287)&gt;5000,BC38*0.05,0)</f>
        <v>0</v>
      </c>
      <c r="BF38" s="2">
        <f>BC38+BD38+BE38</f>
        <v>0</v>
      </c>
      <c r="BG38" s="6" t="b">
        <f>IF($B38='Look Up'!$A$5,$H38)</f>
        <v>0</v>
      </c>
      <c r="BH38" s="6" t="b">
        <f>IF($B38='Look Up'!$A$6,$H38)</f>
        <v>0</v>
      </c>
      <c r="BI38" s="6" t="b">
        <f>IF($B38='Look Up'!$A$7,$H38)</f>
        <v>0</v>
      </c>
      <c r="BJ38" s="6" t="b">
        <f>IF($B38='Look Up'!$A$7,$H38)</f>
        <v>0</v>
      </c>
      <c r="BL38" s="6">
        <f>IF($B38='[7]Look Up'!$A$6,$C38*$H38,0)+IF($B38='[7]Look Up'!$A$7,$C38*$H38,0)</f>
        <v>0</v>
      </c>
      <c r="BM38" s="6">
        <f>IF($B38='[7]Look Up'!$A$6,$D38*$H38,0)+IF($B38='[7]Look Up'!$A$7,$D38*$H38,0)</f>
        <v>0</v>
      </c>
      <c r="BN38" s="6">
        <f>IF($B38='[7]Look Up'!$A$6,$E38*$H38,0)+IF($B38='[7]Look Up'!$A$7,$E38*$H38,0)</f>
        <v>0</v>
      </c>
      <c r="BO38" s="6">
        <f>IF($B38='[7]Look Up'!$A$6,$F38*$H38,0)+IF($B38='[7]Look Up'!$A$7,$F38*$H38,0)</f>
        <v>0</v>
      </c>
      <c r="BQ38" s="6">
        <f>$C38*'Study Information &amp; rates'!$B$101*IF('Study Information &amp; rates'!$B$44='Study Information &amp; rates'!$V$12,(SUM($H38:$AP38)*1.287),(SUM($H38:$AP38)))</f>
        <v>0</v>
      </c>
      <c r="BR38" s="6">
        <f>$D38*'Study Information &amp; rates'!$C$101*IF('Study Information &amp; rates'!$B$44='Study Information &amp; rates'!$V$12,(SUM($H38:$AP38)*1.287),(SUM($H38:$AP38)))</f>
        <v>0</v>
      </c>
      <c r="BS38" s="6">
        <f>$E38*'Study Information &amp; rates'!$D$101*IF('Study Information &amp; rates'!$B$44='Study Information &amp; rates'!$V$12,(SUM($H38:$AP38)*1.287),(SUM($H38:$AP38)))</f>
        <v>0</v>
      </c>
      <c r="BT38" s="6">
        <f>$F38*'Study Information &amp; rates'!$F$101*IF('Study Information &amp; rates'!$B$44='Study Information &amp; rates'!$V$12,(SUM($H38:$AP38)*1.287),(SUM($H38:$AP38)))</f>
        <v>0</v>
      </c>
    </row>
    <row r="39" spans="1:72">
      <c r="A39" s="8"/>
      <c r="B39" s="8"/>
      <c r="C39" s="326"/>
      <c r="D39" s="326"/>
      <c r="E39" s="326"/>
      <c r="F39" s="326"/>
      <c r="G39" s="532">
        <f>IF(ISERROR((C39*'Study Information &amp; rates'!$B$101+D39*'Study Information &amp; rates'!$C$101+E39*'Study Information &amp; rates'!$D$101+F39*'Study Information &amp; rates'!$F$101)),0,(C39*'Study Information &amp; rates'!$B$101+D39*'Study Information &amp; rates'!$C$101+E39*'Study Information &amp; rates'!$D$101+F39*'Study Information &amp; rates'!$F$101))</f>
        <v>0</v>
      </c>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428"/>
      <c r="AR39" s="440">
        <f>(SUM(H39:AP39))*G39</f>
        <v>0</v>
      </c>
      <c r="AS39" s="440">
        <f>IF('Study Information &amp; rates'!$B$44="Yes",AR39*0.287,0)</f>
        <v>0</v>
      </c>
      <c r="AT39" s="440">
        <f>IF('Study Information &amp; rates'!$B$44="No",0,AR39*0.05)</f>
        <v>0</v>
      </c>
      <c r="AU39" s="440">
        <f>AR39+AS39+AT39</f>
        <v>0</v>
      </c>
      <c r="AV39" s="440">
        <f>'Set-up and other costs'!$B$18*AU39</f>
        <v>0</v>
      </c>
      <c r="BC39" s="2">
        <f>H39*G39</f>
        <v>0</v>
      </c>
      <c r="BD39" s="2">
        <f>IF('Study Information &amp; rates'!$B$44='Study Information &amp; rates'!$V$12,BC39*0.287,0)</f>
        <v>0</v>
      </c>
      <c r="BE39" s="2">
        <f>IF((Reconciliation!$C$5*1.287)&gt;5000,BC39*0.05,0)</f>
        <v>0</v>
      </c>
      <c r="BF39" s="2">
        <f>BC39+BD39+BE39</f>
        <v>0</v>
      </c>
      <c r="BG39" s="6" t="b">
        <f>IF($B39='Look Up'!$A$5,$H39)</f>
        <v>0</v>
      </c>
      <c r="BH39" s="6" t="b">
        <f>IF($B39='Look Up'!$A$6,$H39)</f>
        <v>0</v>
      </c>
      <c r="BI39" s="6" t="b">
        <f>IF($B39='Look Up'!$A$7,$H39)</f>
        <v>0</v>
      </c>
      <c r="BJ39" s="6" t="b">
        <f>IF($B39='Look Up'!$A$7,$H39)</f>
        <v>0</v>
      </c>
      <c r="BL39" s="6">
        <f>IF($B39='[7]Look Up'!$A$6,$C39*$H39,0)+IF($B39='[7]Look Up'!$A$7,$C39*$H39,0)</f>
        <v>0</v>
      </c>
      <c r="BM39" s="6">
        <f>IF($B39='[7]Look Up'!$A$6,$D39*$H39,0)+IF($B39='[7]Look Up'!$A$7,$D39*$H39,0)</f>
        <v>0</v>
      </c>
      <c r="BN39" s="6">
        <f>IF($B39='[7]Look Up'!$A$6,$E39*$H39,0)+IF($B39='[7]Look Up'!$A$7,$E39*$H39,0)</f>
        <v>0</v>
      </c>
      <c r="BO39" s="6">
        <f>IF($B39='[7]Look Up'!$A$6,$F39*$H39,0)+IF($B39='[7]Look Up'!$A$7,$F39*$H39,0)</f>
        <v>0</v>
      </c>
      <c r="BQ39" s="6">
        <f>$C39*'Study Information &amp; rates'!$B$101*IF('Study Information &amp; rates'!$B$44='Study Information &amp; rates'!$V$12,(SUM($H39:$AP39)*1.287),(SUM($H39:$AP39)))</f>
        <v>0</v>
      </c>
      <c r="BR39" s="6">
        <f>$D39*'Study Information &amp; rates'!$C$101*IF('Study Information &amp; rates'!$B$44='Study Information &amp; rates'!$V$12,(SUM($H39:$AP39)*1.287),(SUM($H39:$AP39)))</f>
        <v>0</v>
      </c>
      <c r="BS39" s="6">
        <f>$E39*'Study Information &amp; rates'!$D$101*IF('Study Information &amp; rates'!$B$44='Study Information &amp; rates'!$V$12,(SUM($H39:$AP39)*1.287),(SUM($H39:$AP39)))</f>
        <v>0</v>
      </c>
      <c r="BT39" s="6">
        <f>$F39*'Study Information &amp; rates'!$F$101*IF('Study Information &amp; rates'!$B$44='Study Information &amp; rates'!$V$12,(SUM($H39:$AP39)*1.287),(SUM($H39:$AP39)))</f>
        <v>0</v>
      </c>
    </row>
    <row r="40" spans="1:72">
      <c r="A40" s="8"/>
      <c r="B40" s="8"/>
      <c r="C40" s="326"/>
      <c r="D40" s="326"/>
      <c r="E40" s="326"/>
      <c r="F40" s="326"/>
      <c r="G40" s="532">
        <f>IF(ISERROR((C40*'Study Information &amp; rates'!$B$101+D40*'Study Information &amp; rates'!$C$101+E40*'Study Information &amp; rates'!$D$101+F40*'Study Information &amp; rates'!$F$101)),0,(C40*'Study Information &amp; rates'!$B$101+D40*'Study Information &amp; rates'!$C$101+E40*'Study Information &amp; rates'!$D$101+F40*'Study Information &amp; rates'!$F$101))</f>
        <v>0</v>
      </c>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428"/>
      <c r="AR40" s="440">
        <f>(SUM(H40:AP40))*G40</f>
        <v>0</v>
      </c>
      <c r="AS40" s="440">
        <f>IF('Study Information &amp; rates'!$B$44="Yes",AR40*0.287,0)</f>
        <v>0</v>
      </c>
      <c r="AT40" s="440">
        <f>IF('Study Information &amp; rates'!$B$44="No",0,AR40*0.05)</f>
        <v>0</v>
      </c>
      <c r="AU40" s="440">
        <f>AR40+AS40+AT40</f>
        <v>0</v>
      </c>
      <c r="AV40" s="440">
        <f>'Set-up and other costs'!$B$18*AU40</f>
        <v>0</v>
      </c>
      <c r="BC40" s="2">
        <f>H40*G40</f>
        <v>0</v>
      </c>
      <c r="BD40" s="2">
        <f>IF('Study Information &amp; rates'!$B$44='Study Information &amp; rates'!$V$12,BC40*0.287,0)</f>
        <v>0</v>
      </c>
      <c r="BE40" s="2">
        <f>IF((Reconciliation!$C$5*1.287)&gt;5000,BC40*0.05,0)</f>
        <v>0</v>
      </c>
      <c r="BF40" s="2">
        <f>BC40+BD40+BE40</f>
        <v>0</v>
      </c>
      <c r="BG40" s="6" t="b">
        <f>IF($B40='Look Up'!$A$5,$H40)</f>
        <v>0</v>
      </c>
      <c r="BH40" s="6" t="b">
        <f>IF($B40='Look Up'!$A$6,$H40)</f>
        <v>0</v>
      </c>
      <c r="BI40" s="6" t="b">
        <f>IF($B40='Look Up'!$A$7,$H40)</f>
        <v>0</v>
      </c>
      <c r="BJ40" s="6" t="b">
        <f>IF($B40='Look Up'!$A$7,$H40)</f>
        <v>0</v>
      </c>
      <c r="BL40" s="6">
        <f>IF($B40='[7]Look Up'!$A$6,$C40*$H40,0)+IF($B40='[7]Look Up'!$A$7,$C40*$H40,0)</f>
        <v>0</v>
      </c>
      <c r="BM40" s="6">
        <f>IF($B40='[7]Look Up'!$A$6,$D40*$H40,0)+IF($B40='[7]Look Up'!$A$7,$D40*$H40,0)</f>
        <v>0</v>
      </c>
      <c r="BN40" s="6">
        <f>IF($B40='[7]Look Up'!$A$6,$E40*$H40,0)+IF($B40='[7]Look Up'!$A$7,$E40*$H40,0)</f>
        <v>0</v>
      </c>
      <c r="BO40" s="6">
        <f>IF($B40='[7]Look Up'!$A$6,$F40*$H40,0)+IF($B40='[7]Look Up'!$A$7,$F40*$H40,0)</f>
        <v>0</v>
      </c>
      <c r="BQ40" s="6">
        <f>$C40*'Study Information &amp; rates'!$B$101*IF('Study Information &amp; rates'!$B$44='Study Information &amp; rates'!$V$12,(SUM($H40:$AP40)*1.287),(SUM($H40:$AP40)))</f>
        <v>0</v>
      </c>
      <c r="BR40" s="6">
        <f>$D40*'Study Information &amp; rates'!$C$101*IF('Study Information &amp; rates'!$B$44='Study Information &amp; rates'!$V$12,(SUM($H40:$AP40)*1.287),(SUM($H40:$AP40)))</f>
        <v>0</v>
      </c>
      <c r="BS40" s="6">
        <f>$E40*'Study Information &amp; rates'!$D$101*IF('Study Information &amp; rates'!$B$44='Study Information &amp; rates'!$V$12,(SUM($H40:$AP40)*1.287),(SUM($H40:$AP40)))</f>
        <v>0</v>
      </c>
      <c r="BT40" s="6">
        <f>$F40*'Study Information &amp; rates'!$F$101*IF('Study Information &amp; rates'!$B$44='Study Information &amp; rates'!$V$12,(SUM($H40:$AP40)*1.287),(SUM($H40:$AP40)))</f>
        <v>0</v>
      </c>
    </row>
    <row r="41" spans="1:72">
      <c r="A41" s="8"/>
      <c r="B41" s="8"/>
      <c r="C41" s="326"/>
      <c r="D41" s="326"/>
      <c r="E41" s="326"/>
      <c r="F41" s="326"/>
      <c r="G41" s="532">
        <f>IF(ISERROR((C41*'Study Information &amp; rates'!$B$101+D41*'Study Information &amp; rates'!$C$101+E41*'Study Information &amp; rates'!$D$101+F41*'Study Information &amp; rates'!$F$101)),0,(C41*'Study Information &amp; rates'!$B$101+D41*'Study Information &amp; rates'!$C$101+E41*'Study Information &amp; rates'!$D$101+F41*'Study Information &amp; rates'!$F$101))</f>
        <v>0</v>
      </c>
      <c r="H41" s="32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428"/>
      <c r="AR41" s="440">
        <f>(SUM(H41:AP41))*G41</f>
        <v>0</v>
      </c>
      <c r="AS41" s="440">
        <f>IF('Study Information &amp; rates'!$B$44="Yes",AR41*0.287,0)</f>
        <v>0</v>
      </c>
      <c r="AT41" s="440">
        <f>IF('Study Information &amp; rates'!$B$44="No",0,AR41*0.05)</f>
        <v>0</v>
      </c>
      <c r="AU41" s="440">
        <f>AR41+AS41+AT41</f>
        <v>0</v>
      </c>
      <c r="AV41" s="440">
        <f>'Set-up and other costs'!$B$18*AU41</f>
        <v>0</v>
      </c>
      <c r="BC41" s="2">
        <f>H41*G41</f>
        <v>0</v>
      </c>
      <c r="BD41" s="2">
        <f>IF('Study Information &amp; rates'!$B$44='Study Information &amp; rates'!$V$12,BC41*0.287,0)</f>
        <v>0</v>
      </c>
      <c r="BE41" s="2">
        <f>IF((Reconciliation!$C$5*1.287)&gt;5000,BC41*0.05,0)</f>
        <v>0</v>
      </c>
      <c r="BF41" s="2">
        <f>BC41+BD41+BE41</f>
        <v>0</v>
      </c>
      <c r="BG41" s="6" t="b">
        <f>IF($B41='Look Up'!$A$5,$H41)</f>
        <v>0</v>
      </c>
      <c r="BH41" s="6" t="b">
        <f>IF($B41='Look Up'!$A$6,$H41)</f>
        <v>0</v>
      </c>
      <c r="BI41" s="6" t="b">
        <f>IF($B41='Look Up'!$A$7,$H41)</f>
        <v>0</v>
      </c>
      <c r="BJ41" s="6" t="b">
        <f>IF($B41='Look Up'!$A$7,$H41)</f>
        <v>0</v>
      </c>
      <c r="BL41" s="6">
        <f>IF($B41='[7]Look Up'!$A$6,$C41*$H41,0)+IF($B41='[7]Look Up'!$A$7,$C41*$H41,0)</f>
        <v>0</v>
      </c>
      <c r="BM41" s="6">
        <f>IF($B41='[7]Look Up'!$A$6,$D41*$H41,0)+IF($B41='[7]Look Up'!$A$7,$D41*$H41,0)</f>
        <v>0</v>
      </c>
      <c r="BN41" s="6">
        <f>IF($B41='[7]Look Up'!$A$6,$E41*$H41,0)+IF($B41='[7]Look Up'!$A$7,$E41*$H41,0)</f>
        <v>0</v>
      </c>
      <c r="BO41" s="6">
        <f>IF($B41='[7]Look Up'!$A$6,$F41*$H41,0)+IF($B41='[7]Look Up'!$A$7,$F41*$H41,0)</f>
        <v>0</v>
      </c>
      <c r="BQ41" s="6">
        <f>$C41*'Study Information &amp; rates'!$B$101*IF('Study Information &amp; rates'!$B$44='Study Information &amp; rates'!$V$12,(SUM($H41:$AP41)*1.287),(SUM($H41:$AP41)))</f>
        <v>0</v>
      </c>
      <c r="BR41" s="6">
        <f>$D41*'Study Information &amp; rates'!$C$101*IF('Study Information &amp; rates'!$B$44='Study Information &amp; rates'!$V$12,(SUM($H41:$AP41)*1.287),(SUM($H41:$AP41)))</f>
        <v>0</v>
      </c>
      <c r="BS41" s="6">
        <f>$E41*'Study Information &amp; rates'!$D$101*IF('Study Information &amp; rates'!$B$44='Study Information &amp; rates'!$V$12,(SUM($H41:$AP41)*1.287),(SUM($H41:$AP41)))</f>
        <v>0</v>
      </c>
      <c r="BT41" s="6">
        <f>$F41*'Study Information &amp; rates'!$F$101*IF('Study Information &amp; rates'!$B$44='Study Information &amp; rates'!$V$12,(SUM($H41:$AP41)*1.287),(SUM($H41:$AP41)))</f>
        <v>0</v>
      </c>
    </row>
    <row r="42" spans="1:72">
      <c r="A42" s="8"/>
      <c r="B42" s="8"/>
      <c r="C42" s="326"/>
      <c r="D42" s="326"/>
      <c r="E42" s="326"/>
      <c r="F42" s="326"/>
      <c r="G42" s="532">
        <f>IF(ISERROR((C42*'Study Information &amp; rates'!$B$101+D42*'Study Information &amp; rates'!$C$101+E42*'Study Information &amp; rates'!$D$101+F42*'Study Information &amp; rates'!$F$101)),0,(C42*'Study Information &amp; rates'!$B$101+D42*'Study Information &amp; rates'!$C$101+E42*'Study Information &amp; rates'!$D$101+F42*'Study Information &amp; rates'!$F$101))</f>
        <v>0</v>
      </c>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428"/>
      <c r="AR42" s="440">
        <f>(SUM(H42:AP42))*G42</f>
        <v>0</v>
      </c>
      <c r="AS42" s="440">
        <f>IF('Study Information &amp; rates'!$B$44="Yes",AR42*0.287,0)</f>
        <v>0</v>
      </c>
      <c r="AT42" s="440">
        <f>IF('Study Information &amp; rates'!$B$44="No",0,AR42*0.05)</f>
        <v>0</v>
      </c>
      <c r="AU42" s="440">
        <f>AR42+AS42+AT42</f>
        <v>0</v>
      </c>
      <c r="AV42" s="440">
        <f>'Set-up and other costs'!$B$18*AU42</f>
        <v>0</v>
      </c>
      <c r="BC42" s="2">
        <f>H42*G42</f>
        <v>0</v>
      </c>
      <c r="BD42" s="2">
        <f>IF('Study Information &amp; rates'!$B$44='Study Information &amp; rates'!$V$12,BC42*0.287,0)</f>
        <v>0</v>
      </c>
      <c r="BE42" s="2">
        <f>IF((Reconciliation!$C$5*1.287)&gt;5000,BC42*0.05,0)</f>
        <v>0</v>
      </c>
      <c r="BF42" s="2">
        <f>BC42+BD42+BE42</f>
        <v>0</v>
      </c>
      <c r="BG42" s="6" t="b">
        <f>IF($B42='Look Up'!$A$5,$H42)</f>
        <v>0</v>
      </c>
      <c r="BH42" s="6" t="b">
        <f>IF($B42='Look Up'!$A$6,$H42)</f>
        <v>0</v>
      </c>
      <c r="BI42" s="6" t="b">
        <f>IF($B42='Look Up'!$A$7,$H42)</f>
        <v>0</v>
      </c>
      <c r="BJ42" s="6" t="b">
        <f>IF($B42='Look Up'!$A$7,$H42)</f>
        <v>0</v>
      </c>
      <c r="BL42" s="6">
        <f>IF($B42='[7]Look Up'!$A$6,$C42*$H42,0)+IF($B42='[7]Look Up'!$A$7,$C42*$H42,0)</f>
        <v>0</v>
      </c>
      <c r="BM42" s="6">
        <f>IF($B42='[7]Look Up'!$A$6,$D42*$H42,0)+IF($B42='[7]Look Up'!$A$7,$D42*$H42,0)</f>
        <v>0</v>
      </c>
      <c r="BN42" s="6">
        <f>IF($B42='[7]Look Up'!$A$6,$E42*$H42,0)+IF($B42='[7]Look Up'!$A$7,$E42*$H42,0)</f>
        <v>0</v>
      </c>
      <c r="BO42" s="6">
        <f>IF($B42='[7]Look Up'!$A$6,$F42*$H42,0)+IF($B42='[7]Look Up'!$A$7,$F42*$H42,0)</f>
        <v>0</v>
      </c>
      <c r="BQ42" s="6">
        <f>$C42*'Study Information &amp; rates'!$B$101*IF('Study Information &amp; rates'!$B$44='Study Information &amp; rates'!$V$12,(SUM($H42:$AP42)*1.287),(SUM($H42:$AP42)))</f>
        <v>0</v>
      </c>
      <c r="BR42" s="6">
        <f>$D42*'Study Information &amp; rates'!$C$101*IF('Study Information &amp; rates'!$B$44='Study Information &amp; rates'!$V$12,(SUM($H42:$AP42)*1.287),(SUM($H42:$AP42)))</f>
        <v>0</v>
      </c>
      <c r="BS42" s="6">
        <f>$E42*'Study Information &amp; rates'!$D$101*IF('Study Information &amp; rates'!$B$44='Study Information &amp; rates'!$V$12,(SUM($H42:$AP42)*1.287),(SUM($H42:$AP42)))</f>
        <v>0</v>
      </c>
      <c r="BT42" s="6">
        <f>$F42*'Study Information &amp; rates'!$F$101*IF('Study Information &amp; rates'!$B$44='Study Information &amp; rates'!$V$12,(SUM($H42:$AP42)*1.287),(SUM($H42:$AP42)))</f>
        <v>0</v>
      </c>
    </row>
    <row r="43" spans="1:72">
      <c r="A43" s="8"/>
      <c r="B43" s="8"/>
      <c r="C43" s="326"/>
      <c r="D43" s="326"/>
      <c r="E43" s="326"/>
      <c r="F43" s="326"/>
      <c r="G43" s="532">
        <f>IF(ISERROR((C43*'Study Information &amp; rates'!$B$101+D43*'Study Information &amp; rates'!$C$101+E43*'Study Information &amp; rates'!$D$101+F43*'Study Information &amp; rates'!$F$101)),0,(C43*'Study Information &amp; rates'!$B$101+D43*'Study Information &amp; rates'!$C$101+E43*'Study Information &amp; rates'!$D$101+F43*'Study Information &amp; rates'!$F$101))</f>
        <v>0</v>
      </c>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428"/>
      <c r="AR43" s="440">
        <f>(SUM(H43:AP43))*G43</f>
        <v>0</v>
      </c>
      <c r="AS43" s="440">
        <f>IF('Study Information &amp; rates'!$B$44="Yes",AR43*0.287,0)</f>
        <v>0</v>
      </c>
      <c r="AT43" s="440">
        <f>IF('Study Information &amp; rates'!$B$44="No",0,AR43*0.05)</f>
        <v>0</v>
      </c>
      <c r="AU43" s="440">
        <f>AR43+AS43+AT43</f>
        <v>0</v>
      </c>
      <c r="AV43" s="440">
        <f>'Set-up and other costs'!$B$18*AU43</f>
        <v>0</v>
      </c>
      <c r="BC43" s="2">
        <f>H43*G43</f>
        <v>0</v>
      </c>
      <c r="BD43" s="2">
        <f>IF('Study Information &amp; rates'!$B$44='Study Information &amp; rates'!$V$12,BC43*0.287,0)</f>
        <v>0</v>
      </c>
      <c r="BE43" s="2">
        <f>IF((Reconciliation!$C$5*1.287)&gt;5000,BC43*0.05,0)</f>
        <v>0</v>
      </c>
      <c r="BF43" s="2">
        <f>BC43+BD43+BE43</f>
        <v>0</v>
      </c>
      <c r="BG43" s="6" t="b">
        <f>IF($B43='Look Up'!$A$5,$H43)</f>
        <v>0</v>
      </c>
      <c r="BH43" s="6" t="b">
        <f>IF($B43='Look Up'!$A$6,$H43)</f>
        <v>0</v>
      </c>
      <c r="BI43" s="6" t="b">
        <f>IF($B43='Look Up'!$A$7,$H43)</f>
        <v>0</v>
      </c>
      <c r="BJ43" s="6" t="b">
        <f>IF($B43='Look Up'!$A$7,$H43)</f>
        <v>0</v>
      </c>
      <c r="BL43" s="6">
        <f>IF($B43='[7]Look Up'!$A$6,$C43*$H43,0)+IF($B43='[7]Look Up'!$A$7,$C43*$H43,0)</f>
        <v>0</v>
      </c>
      <c r="BM43" s="6">
        <f>IF($B43='[7]Look Up'!$A$6,$D43*$H43,0)+IF($B43='[7]Look Up'!$A$7,$D43*$H43,0)</f>
        <v>0</v>
      </c>
      <c r="BN43" s="6">
        <f>IF($B43='[7]Look Up'!$A$6,$E43*$H43,0)+IF($B43='[7]Look Up'!$A$7,$E43*$H43,0)</f>
        <v>0</v>
      </c>
      <c r="BO43" s="6">
        <f>IF($B43='[7]Look Up'!$A$6,$F43*$H43,0)+IF($B43='[7]Look Up'!$A$7,$F43*$H43,0)</f>
        <v>0</v>
      </c>
      <c r="BQ43" s="6">
        <f>$C43*'Study Information &amp; rates'!$B$101*IF('Study Information &amp; rates'!$B$44='Study Information &amp; rates'!$V$12,(SUM($H43:$AP43)*1.287),(SUM($H43:$AP43)))</f>
        <v>0</v>
      </c>
      <c r="BR43" s="6">
        <f>$D43*'Study Information &amp; rates'!$C$101*IF('Study Information &amp; rates'!$B$44='Study Information &amp; rates'!$V$12,(SUM($H43:$AP43)*1.287),(SUM($H43:$AP43)))</f>
        <v>0</v>
      </c>
      <c r="BS43" s="6">
        <f>$E43*'Study Information &amp; rates'!$D$101*IF('Study Information &amp; rates'!$B$44='Study Information &amp; rates'!$V$12,(SUM($H43:$AP43)*1.287),(SUM($H43:$AP43)))</f>
        <v>0</v>
      </c>
      <c r="BT43" s="6">
        <f>$F43*'Study Information &amp; rates'!$F$101*IF('Study Information &amp; rates'!$B$44='Study Information &amp; rates'!$V$12,(SUM($H43:$AP43)*1.287),(SUM($H43:$AP43)))</f>
        <v>0</v>
      </c>
    </row>
    <row r="44" spans="1:72">
      <c r="A44" s="8"/>
      <c r="B44" s="8"/>
      <c r="C44" s="326"/>
      <c r="D44" s="326"/>
      <c r="E44" s="326"/>
      <c r="F44" s="326"/>
      <c r="G44" s="532">
        <f>IF(ISERROR((C44*'Study Information &amp; rates'!$B$101+D44*'Study Information &amp; rates'!$C$101+E44*'Study Information &amp; rates'!$D$101+F44*'Study Information &amp; rates'!$F$101)),0,(C44*'Study Information &amp; rates'!$B$101+D44*'Study Information &amp; rates'!$C$101+E44*'Study Information &amp; rates'!$D$101+F44*'Study Information &amp; rates'!$F$101))</f>
        <v>0</v>
      </c>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428"/>
      <c r="AR44" s="440">
        <f>(SUM(H44:AP44))*G44</f>
        <v>0</v>
      </c>
      <c r="AS44" s="440">
        <f>IF('Study Information &amp; rates'!$B$44="Yes",AR44*0.287,0)</f>
        <v>0</v>
      </c>
      <c r="AT44" s="440">
        <f>IF('Study Information &amp; rates'!$B$44="No",0,AR44*0.05)</f>
        <v>0</v>
      </c>
      <c r="AU44" s="440">
        <f>AR44+AS44+AT44</f>
        <v>0</v>
      </c>
      <c r="AV44" s="440">
        <f>'Set-up and other costs'!$B$18*AU44</f>
        <v>0</v>
      </c>
      <c r="AW44" s="238"/>
      <c r="BC44" s="2">
        <f>H44*G44</f>
        <v>0</v>
      </c>
      <c r="BD44" s="2">
        <f>IF('Study Information &amp; rates'!$B$44='Study Information &amp; rates'!$V$12,BC44*0.287,0)</f>
        <v>0</v>
      </c>
      <c r="BE44" s="2">
        <f>IF((Reconciliation!$C$5*1.287)&gt;5000,BC44*0.05,0)</f>
        <v>0</v>
      </c>
      <c r="BF44" s="2">
        <f>BC44+BD44+BE44</f>
        <v>0</v>
      </c>
      <c r="BG44" s="6" t="b">
        <f>IF($B44='Look Up'!$A$5,$H44)</f>
        <v>0</v>
      </c>
      <c r="BH44" s="6" t="b">
        <f>IF($B44='Look Up'!$A$6,$H44)</f>
        <v>0</v>
      </c>
      <c r="BI44" s="6" t="b">
        <f>IF($B44='Look Up'!$A$7,$H44)</f>
        <v>0</v>
      </c>
      <c r="BJ44" s="6" t="b">
        <f>IF($B44='Look Up'!$A$7,$H44)</f>
        <v>0</v>
      </c>
      <c r="BL44" s="6">
        <f>IF($B44='[7]Look Up'!$A$6,$C44*$H44,0)+IF($B44='[7]Look Up'!$A$7,$C44*$H44,0)</f>
        <v>0</v>
      </c>
      <c r="BM44" s="6">
        <f>IF($B44='[7]Look Up'!$A$6,$D44*$H44,0)+IF($B44='[7]Look Up'!$A$7,$D44*$H44,0)</f>
        <v>0</v>
      </c>
      <c r="BN44" s="6">
        <f>IF($B44='[7]Look Up'!$A$6,$E44*$H44,0)+IF($B44='[7]Look Up'!$A$7,$E44*$H44,0)</f>
        <v>0</v>
      </c>
      <c r="BO44" s="6">
        <f>IF($B44='[7]Look Up'!$A$6,$F44*$H44,0)+IF($B44='[7]Look Up'!$A$7,$F44*$H44,0)</f>
        <v>0</v>
      </c>
      <c r="BQ44" s="6">
        <f>$C44*'Study Information &amp; rates'!$B$101*IF('Study Information &amp; rates'!$B$44='Study Information &amp; rates'!$V$12,(SUM($H44:$AP44)*1.287),(SUM($H44:$AP44)))</f>
        <v>0</v>
      </c>
      <c r="BR44" s="6">
        <f>$D44*'Study Information &amp; rates'!$C$101*IF('Study Information &amp; rates'!$B$44='Study Information &amp; rates'!$V$12,(SUM($H44:$AP44)*1.287),(SUM($H44:$AP44)))</f>
        <v>0</v>
      </c>
      <c r="BS44" s="6">
        <f>$E44*'Study Information &amp; rates'!$D$101*IF('Study Information &amp; rates'!$B$44='Study Information &amp; rates'!$V$12,(SUM($H44:$AP44)*1.287),(SUM($H44:$AP44)))</f>
        <v>0</v>
      </c>
      <c r="BT44" s="6">
        <f>$F44*'Study Information &amp; rates'!$F$101*IF('Study Information &amp; rates'!$B$44='Study Information &amp; rates'!$V$12,(SUM($H44:$AP44)*1.287),(SUM($H44:$AP44)))</f>
        <v>0</v>
      </c>
    </row>
    <row r="45" spans="1:72">
      <c r="A45" s="8"/>
      <c r="B45" s="8"/>
      <c r="C45" s="326"/>
      <c r="D45" s="326"/>
      <c r="E45" s="326"/>
      <c r="F45" s="326"/>
      <c r="G45" s="532">
        <f>IF(ISERROR((C45*'Study Information &amp; rates'!$B$101+D45*'Study Information &amp; rates'!$C$101+E45*'Study Information &amp; rates'!$D$101+F45*'Study Information &amp; rates'!$F$101)),0,(C45*'Study Information &amp; rates'!$B$101+D45*'Study Information &amp; rates'!$C$101+E45*'Study Information &amp; rates'!$D$101+F45*'Study Information &amp; rates'!$F$101))</f>
        <v>0</v>
      </c>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428"/>
      <c r="AR45" s="440">
        <f>(SUM(H45:AP45))*G45</f>
        <v>0</v>
      </c>
      <c r="AS45" s="440">
        <f>IF('Study Information &amp; rates'!$B$44="Yes",AR45*0.287,0)</f>
        <v>0</v>
      </c>
      <c r="AT45" s="440">
        <f>IF('Study Information &amp; rates'!$B$44="No",0,AR45*0.05)</f>
        <v>0</v>
      </c>
      <c r="AU45" s="440">
        <f>AR45+AS45+AT45</f>
        <v>0</v>
      </c>
      <c r="AV45" s="440">
        <f>'Set-up and other costs'!$B$18*AU45</f>
        <v>0</v>
      </c>
      <c r="BC45" s="2">
        <f>H45*G45</f>
        <v>0</v>
      </c>
      <c r="BD45" s="2">
        <f>IF('Study Information &amp; rates'!$B$44='Study Information &amp; rates'!$V$12,BC45*0.287,0)</f>
        <v>0</v>
      </c>
      <c r="BE45" s="2">
        <f>IF((Reconciliation!$C$5*1.287)&gt;5000,BC45*0.05,0)</f>
        <v>0</v>
      </c>
      <c r="BF45" s="2">
        <f>BC45+BD45+BE45</f>
        <v>0</v>
      </c>
      <c r="BG45" s="6" t="b">
        <f>IF($B45='Look Up'!$A$5,$H45)</f>
        <v>0</v>
      </c>
      <c r="BH45" s="6" t="b">
        <f>IF($B45='Look Up'!$A$6,$H45)</f>
        <v>0</v>
      </c>
      <c r="BI45" s="6" t="b">
        <f>IF($B45='Look Up'!$A$7,$H45)</f>
        <v>0</v>
      </c>
      <c r="BJ45" s="6" t="b">
        <f>IF($B45='Look Up'!$A$7,$H45)</f>
        <v>0</v>
      </c>
      <c r="BL45" s="6">
        <f>IF($B45='[7]Look Up'!$A$6,$C45*$H45,0)+IF($B45='[7]Look Up'!$A$7,$C45*$H45,0)</f>
        <v>0</v>
      </c>
      <c r="BM45" s="6">
        <f>IF($B45='[7]Look Up'!$A$6,$D45*$H45,0)+IF($B45='[7]Look Up'!$A$7,$D45*$H45,0)</f>
        <v>0</v>
      </c>
      <c r="BN45" s="6">
        <f>IF($B45='[7]Look Up'!$A$6,$E45*$H45,0)+IF($B45='[7]Look Up'!$A$7,$E45*$H45,0)</f>
        <v>0</v>
      </c>
      <c r="BO45" s="6">
        <f>IF($B45='[7]Look Up'!$A$6,$F45*$H45,0)+IF($B45='[7]Look Up'!$A$7,$F45*$H45,0)</f>
        <v>0</v>
      </c>
      <c r="BQ45" s="6">
        <f>$C45*'Study Information &amp; rates'!$B$101*IF('Study Information &amp; rates'!$B$44='Study Information &amp; rates'!$V$12,(SUM($H45:$AP45)*1.287),(SUM($H45:$AP45)))</f>
        <v>0</v>
      </c>
      <c r="BR45" s="6">
        <f>$D45*'Study Information &amp; rates'!$C$101*IF('Study Information &amp; rates'!$B$44='Study Information &amp; rates'!$V$12,(SUM($H45:$AP45)*1.287),(SUM($H45:$AP45)))</f>
        <v>0</v>
      </c>
      <c r="BS45" s="6">
        <f>$E45*'Study Information &amp; rates'!$D$101*IF('Study Information &amp; rates'!$B$44='Study Information &amp; rates'!$V$12,(SUM($H45:$AP45)*1.287),(SUM($H45:$AP45)))</f>
        <v>0</v>
      </c>
      <c r="BT45" s="6">
        <f>$F45*'Study Information &amp; rates'!$F$101*IF('Study Information &amp; rates'!$B$44='Study Information &amp; rates'!$V$12,(SUM($H45:$AP45)*1.287),(SUM($H45:$AP45)))</f>
        <v>0</v>
      </c>
    </row>
    <row r="46" spans="1:72" s="13" customFormat="1">
      <c r="A46" s="8"/>
      <c r="B46" s="8"/>
      <c r="C46" s="326"/>
      <c r="D46" s="326"/>
      <c r="E46" s="326"/>
      <c r="F46" s="326"/>
      <c r="G46" s="532">
        <f>IF(ISERROR((C46*'Study Information &amp; rates'!$B$101+D46*'Study Information &amp; rates'!$C$101+E46*'Study Information &amp; rates'!$D$101+F46*'Study Information &amp; rates'!$F$101)),0,(C46*'Study Information &amp; rates'!$B$101+D46*'Study Information &amp; rates'!$C$101+E46*'Study Information &amp; rates'!$D$101+F46*'Study Information &amp; rates'!$F$101))</f>
        <v>0</v>
      </c>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428"/>
      <c r="AR46" s="440">
        <f>(SUM(H46:AP46))*G46</f>
        <v>0</v>
      </c>
      <c r="AS46" s="440">
        <f>IF('Study Information &amp; rates'!$B$44="Yes",AR46*0.287,0)</f>
        <v>0</v>
      </c>
      <c r="AT46" s="440">
        <f>IF('Study Information &amp; rates'!$B$44="No",0,AR46*0.05)</f>
        <v>0</v>
      </c>
      <c r="AU46" s="440">
        <f>AR46+AS46+AT46</f>
        <v>0</v>
      </c>
      <c r="AV46" s="440">
        <f>'Set-up and other costs'!$B$18*AU46</f>
        <v>0</v>
      </c>
      <c r="BC46" s="2">
        <f>H46*G46</f>
        <v>0</v>
      </c>
      <c r="BD46" s="2">
        <f>IF('Study Information &amp; rates'!$B$44='Study Information &amp; rates'!$V$12,BC46*0.287,0)</f>
        <v>0</v>
      </c>
      <c r="BE46" s="2">
        <f>IF((Reconciliation!$C$5*1.287)&gt;5000,BC46*0.05,0)</f>
        <v>0</v>
      </c>
      <c r="BF46" s="2">
        <f>BC46+BD46+BE46</f>
        <v>0</v>
      </c>
      <c r="BG46" s="6" t="b">
        <f>IF($B46='Look Up'!$A$5,$H46)</f>
        <v>0</v>
      </c>
      <c r="BH46" s="6" t="b">
        <f>IF($B46='Look Up'!$A$6,$H46)</f>
        <v>0</v>
      </c>
      <c r="BI46" s="6" t="b">
        <f>IF($B46='Look Up'!$A$7,$H46)</f>
        <v>0</v>
      </c>
      <c r="BJ46" s="6" t="b">
        <f>IF($B46='Look Up'!$A$7,$H46)</f>
        <v>0</v>
      </c>
      <c r="BL46" s="13">
        <f>IF($B46='[7]Look Up'!$A$6,$C46*$H46,0)+IF($B46='[7]Look Up'!$A$7,$C46*$H46,0)</f>
        <v>0</v>
      </c>
      <c r="BM46" s="13">
        <f>IF($B46='[7]Look Up'!$A$6,$D46*$H46,0)+IF($B46='[7]Look Up'!$A$7,$D46*$H46,0)</f>
        <v>0</v>
      </c>
      <c r="BN46" s="13">
        <f>IF($B46='[7]Look Up'!$A$6,$E46*$H46,0)+IF($B46='[7]Look Up'!$A$7,$E46*$H46,0)</f>
        <v>0</v>
      </c>
      <c r="BO46" s="13">
        <f>IF($B46='[7]Look Up'!$A$6,$F46*$H46,0)+IF($B46='[7]Look Up'!$A$7,$F46*$H46,0)</f>
        <v>0</v>
      </c>
      <c r="BQ46" s="6">
        <f>$C46*'Study Information &amp; rates'!$B$101*IF('Study Information &amp; rates'!$B$44='Study Information &amp; rates'!$V$12,(SUM($H46:$AP46)*1.287),(SUM($H46:$AP46)))</f>
        <v>0</v>
      </c>
      <c r="BR46" s="6">
        <f>$D46*'Study Information &amp; rates'!$C$101*IF('Study Information &amp; rates'!$B$44='Study Information &amp; rates'!$V$12,(SUM($H46:$AP46)*1.287),(SUM($H46:$AP46)))</f>
        <v>0</v>
      </c>
      <c r="BS46" s="6">
        <f>$E46*'Study Information &amp; rates'!$D$101*IF('Study Information &amp; rates'!$B$44='Study Information &amp; rates'!$V$12,(SUM($H46:$AP46)*1.287),(SUM($H46:$AP46)))</f>
        <v>0</v>
      </c>
      <c r="BT46" s="6">
        <f>$F46*'Study Information &amp; rates'!$F$101*IF('Study Information &amp; rates'!$B$44='Study Information &amp; rates'!$V$12,(SUM($H46:$AP46)*1.287),(SUM($H46:$AP46)))</f>
        <v>0</v>
      </c>
    </row>
    <row r="47" spans="1:72">
      <c r="A47" s="15"/>
      <c r="B47" s="15"/>
      <c r="C47" s="18"/>
      <c r="D47" s="18"/>
      <c r="E47" s="18"/>
      <c r="F47" s="18"/>
      <c r="G47" s="507"/>
      <c r="H47" s="508">
        <f>SUM(H8:H46)</f>
        <v>0</v>
      </c>
      <c r="I47" s="508">
        <f>SUM(I8:I46)</f>
        <v>0</v>
      </c>
      <c r="J47" s="508">
        <f>SUM(J8:J46)</f>
        <v>0</v>
      </c>
      <c r="K47" s="508">
        <f>SUM(K8:K46)</f>
        <v>0</v>
      </c>
      <c r="L47" s="508">
        <f>SUM(L8:L46)</f>
        <v>0</v>
      </c>
      <c r="M47" s="508">
        <f>SUM(M8:M46)</f>
        <v>0</v>
      </c>
      <c r="N47" s="508">
        <f>SUM(N8:N46)</f>
        <v>0</v>
      </c>
      <c r="O47" s="508">
        <f>SUM(O8:O46)</f>
        <v>0</v>
      </c>
      <c r="P47" s="508">
        <f>SUM(P8:P46)</f>
        <v>0</v>
      </c>
      <c r="Q47" s="508">
        <f>SUM(Q8:Q46)</f>
        <v>0</v>
      </c>
      <c r="R47" s="508">
        <f>SUM(R8:R46)</f>
        <v>0</v>
      </c>
      <c r="S47" s="508">
        <f>SUM(S8:S46)</f>
        <v>0</v>
      </c>
      <c r="T47" s="508">
        <f>SUM(T8:T46)</f>
        <v>0</v>
      </c>
      <c r="U47" s="508">
        <f>SUM(U8:U46)</f>
        <v>0</v>
      </c>
      <c r="V47" s="508">
        <f>SUM(V8:V46)</f>
        <v>0</v>
      </c>
      <c r="W47" s="508">
        <f>SUM(W8:W46)</f>
        <v>0</v>
      </c>
      <c r="X47" s="508">
        <f>SUM(X8:X46)</f>
        <v>0</v>
      </c>
      <c r="Y47" s="508">
        <f>SUM(Y8:Y46)</f>
        <v>0</v>
      </c>
      <c r="Z47" s="508">
        <f>SUM(Z8:Z46)</f>
        <v>0</v>
      </c>
      <c r="AA47" s="508">
        <f>SUM(AA8:AA46)</f>
        <v>0</v>
      </c>
      <c r="AB47" s="508">
        <f>SUM(AB8:AB46)</f>
        <v>0</v>
      </c>
      <c r="AC47" s="508">
        <f>SUM(AC8:AC46)</f>
        <v>0</v>
      </c>
      <c r="AD47" s="508">
        <f>SUM(AD8:AD46)</f>
        <v>0</v>
      </c>
      <c r="AE47" s="508">
        <f>SUM(AE8:AE46)</f>
        <v>0</v>
      </c>
      <c r="AF47" s="508">
        <f>SUM(AF8:AF46)</f>
        <v>0</v>
      </c>
      <c r="AG47" s="508">
        <f>SUM(AG8:AG46)</f>
        <v>0</v>
      </c>
      <c r="AH47" s="508">
        <f>SUM(AH8:AH46)</f>
        <v>0</v>
      </c>
      <c r="AI47" s="508">
        <f>SUM(AI8:AI46)</f>
        <v>0</v>
      </c>
      <c r="AJ47" s="508">
        <f>SUM(AJ8:AJ46)</f>
        <v>0</v>
      </c>
      <c r="AK47" s="508">
        <f>SUM(AK8:AK46)</f>
        <v>0</v>
      </c>
      <c r="AL47" s="508">
        <f>SUM(AL8:AL46)</f>
        <v>0</v>
      </c>
      <c r="AM47" s="508">
        <f>SUM(AM8:AM46)</f>
        <v>0</v>
      </c>
      <c r="AN47" s="508">
        <f>SUM(AN8:AN46)</f>
        <v>0</v>
      </c>
      <c r="AO47" s="508">
        <f>SUM(AO8:AO46)</f>
        <v>0</v>
      </c>
      <c r="AP47" s="508">
        <f>SUM(AP8:AP46)</f>
        <v>0</v>
      </c>
      <c r="AQ47" s="423"/>
      <c r="AR47" s="509">
        <f>SUM(AR8:AR46)</f>
        <v>0</v>
      </c>
      <c r="AS47" s="440">
        <f>IF('Study Information &amp; rates'!$B$44="Yes",AR47*0.287,0)</f>
        <v>0</v>
      </c>
      <c r="AT47" s="440">
        <f>IF('Study Information &amp; rates'!$B$44="No",0,AR47*0.05)</f>
        <v>0</v>
      </c>
      <c r="AU47" s="440">
        <f>AR47+AS47+AT47</f>
        <v>0</v>
      </c>
      <c r="AV47" s="440">
        <f>'Set-up and other costs'!$B$18*AU47</f>
        <v>0</v>
      </c>
      <c r="AW47" s="238"/>
      <c r="BQ47" s="6">
        <f>$C47*'Study Information &amp; rates'!$B$101*IF('Study Information &amp; rates'!$B$44='Study Information &amp; rates'!$V$12,(SUM($H47:$AP47)*1.287),(SUM($H47:$AP47)))</f>
        <v>0</v>
      </c>
      <c r="BR47" s="6">
        <f>$D47*'Study Information &amp; rates'!$C$101*IF('Study Information &amp; rates'!$B$44='Study Information &amp; rates'!$V$12,(SUM($H47:$AP47)*1.287),(SUM($H47:$AP47)))</f>
        <v>0</v>
      </c>
      <c r="BS47" s="6">
        <f>$E47*'Study Information &amp; rates'!$D$101*IF('Study Information &amp; rates'!$B$44='Study Information &amp; rates'!$V$12,(SUM($H47:$AP47)*1.287),(SUM($H47:$AP47)))</f>
        <v>0</v>
      </c>
      <c r="BT47" s="6">
        <f>$F47*'Study Information &amp; rates'!$F$101*IF('Study Information &amp; rates'!$B$44='Study Information &amp; rates'!$V$12,(SUM($H47:$AP47)*1.287),(SUM($H47:$AP47)))</f>
        <v>0</v>
      </c>
    </row>
    <row r="48" spans="1:58" ht="26">
      <c r="A48" s="15"/>
      <c r="B48" s="15"/>
      <c r="C48" s="18"/>
      <c r="D48" s="18"/>
      <c r="E48" s="18"/>
      <c r="F48" s="18"/>
      <c r="G48" s="439" t="s">
        <v>1970</v>
      </c>
      <c r="H48" s="508">
        <f>SUMPRODUCT($C8:$C46,H8:H46)</f>
        <v>0</v>
      </c>
      <c r="I48" s="508">
        <f>SUMPRODUCT($C8:$C46,I8:I46)</f>
        <v>0</v>
      </c>
      <c r="J48" s="508">
        <f>SUMPRODUCT($C8:$C46,J8:J46)</f>
        <v>0</v>
      </c>
      <c r="K48" s="508">
        <f>SUMPRODUCT($C8:$C46,K8:K46)</f>
        <v>0</v>
      </c>
      <c r="L48" s="508">
        <f>SUMPRODUCT($C8:$C46,L8:L46)</f>
        <v>0</v>
      </c>
      <c r="M48" s="508">
        <f>SUMPRODUCT($C8:$C46,M8:M46)</f>
        <v>0</v>
      </c>
      <c r="N48" s="508">
        <f>SUMPRODUCT($C8:$C46,N8:N46)</f>
        <v>0</v>
      </c>
      <c r="O48" s="508">
        <f>SUMPRODUCT($C8:$C46,O8:O46)</f>
        <v>0</v>
      </c>
      <c r="P48" s="508">
        <f>SUMPRODUCT($C8:$C46,P8:P46)</f>
        <v>0</v>
      </c>
      <c r="Q48" s="508">
        <f>SUMPRODUCT($C8:$C46,Q8:Q46)</f>
        <v>0</v>
      </c>
      <c r="R48" s="508">
        <f>SUMPRODUCT($C8:$C46,R8:R46)</f>
        <v>0</v>
      </c>
      <c r="S48" s="508">
        <f>SUMPRODUCT($C8:$C46,S8:S46)</f>
        <v>0</v>
      </c>
      <c r="T48" s="508">
        <f>SUMPRODUCT($C8:$C46,T8:T46)</f>
        <v>0</v>
      </c>
      <c r="U48" s="508">
        <f>SUMPRODUCT($C8:$C46,U8:U46)</f>
        <v>0</v>
      </c>
      <c r="V48" s="508">
        <f>SUMPRODUCT($C8:$C46,V8:V46)</f>
        <v>0</v>
      </c>
      <c r="W48" s="508">
        <f>SUMPRODUCT($C8:$C46,W8:W46)</f>
        <v>0</v>
      </c>
      <c r="X48" s="508">
        <f>SUMPRODUCT($C8:$C46,X8:X46)</f>
        <v>0</v>
      </c>
      <c r="Y48" s="508">
        <f>SUMPRODUCT($C8:$C46,Y8:Y46)</f>
        <v>0</v>
      </c>
      <c r="Z48" s="508">
        <f>SUMPRODUCT($C8:$C46,Z8:Z46)</f>
        <v>0</v>
      </c>
      <c r="AA48" s="508">
        <f>SUMPRODUCT($C8:$C46,AA8:AA46)</f>
        <v>0</v>
      </c>
      <c r="AB48" s="508">
        <f>SUMPRODUCT($C8:$C46,AB8:AB46)</f>
        <v>0</v>
      </c>
      <c r="AC48" s="508">
        <f>SUMPRODUCT($C8:$C46,AC8:AC46)</f>
        <v>0</v>
      </c>
      <c r="AD48" s="508">
        <f>SUMPRODUCT($C8:$C46,AD8:AD46)</f>
        <v>0</v>
      </c>
      <c r="AE48" s="508">
        <f>SUMPRODUCT($C8:$C46,AE8:AE46)</f>
        <v>0</v>
      </c>
      <c r="AF48" s="508">
        <f>SUMPRODUCT($C8:$C46,AF8:AF46)</f>
        <v>0</v>
      </c>
      <c r="AG48" s="508">
        <f>SUMPRODUCT($C8:$C46,AG8:AG46)</f>
        <v>0</v>
      </c>
      <c r="AH48" s="508">
        <f>SUMPRODUCT($C8:$C46,AH8:AH46)</f>
        <v>0</v>
      </c>
      <c r="AI48" s="508">
        <f>SUMPRODUCT($C8:$C46,AI8:AI46)</f>
        <v>0</v>
      </c>
      <c r="AJ48" s="508">
        <f>SUMPRODUCT($C8:$C46,AJ8:AJ46)</f>
        <v>0</v>
      </c>
      <c r="AK48" s="508">
        <f>SUMPRODUCT($C8:$C46,AK8:AK46)</f>
        <v>0</v>
      </c>
      <c r="AL48" s="508">
        <f>SUMPRODUCT($C8:$C46,AL8:AL46)</f>
        <v>0</v>
      </c>
      <c r="AM48" s="508">
        <f>SUMPRODUCT($C8:$C46,AM8:AM46)</f>
        <v>0</v>
      </c>
      <c r="AN48" s="508">
        <f>SUMPRODUCT($C8:$C46,AN8:AN46)</f>
        <v>0</v>
      </c>
      <c r="AO48" s="508">
        <f>SUMPRODUCT($C8:$C46,AO8:AO46)</f>
        <v>0</v>
      </c>
      <c r="AP48" s="508">
        <f>SUMPRODUCT($C8:$C46,AP8:AP46)</f>
        <v>0</v>
      </c>
      <c r="AQ48" s="429"/>
      <c r="AR48" s="440">
        <f>SUM(H48:AP48)*'Study Information &amp; rates'!B101</f>
        <v>0</v>
      </c>
      <c r="AS48" s="440">
        <f>IF('Study Information &amp; rates'!$B$44="Yes",AR48*0.287,0)</f>
        <v>0</v>
      </c>
      <c r="AT48" s="440">
        <f>IF('Study Information &amp; rates'!$B$44="No",0,AR48*0.05)</f>
        <v>0</v>
      </c>
      <c r="AU48" s="440">
        <f>AR48+AS48+AT48</f>
        <v>0</v>
      </c>
      <c r="AV48" s="440">
        <f>'Set-up and other costs'!$B$18*AU48</f>
        <v>0</v>
      </c>
      <c r="BB48" s="4">
        <f>SUMIF($BH:$BH,1,$C:$C)+SUMIF($BJ:$BJ,1,$C:$C)</f>
        <v>0</v>
      </c>
      <c r="BC48" s="275">
        <f>BB48*'Study Information &amp; rates'!$B$101</f>
        <v>0</v>
      </c>
      <c r="BD48" s="2">
        <f>IF('Study Information &amp; rates'!$B$44='Study Information &amp; rates'!$V$12,BC48*0.287,0)</f>
        <v>0</v>
      </c>
      <c r="BE48" s="2">
        <f>IF(($AR$52*'Study Information &amp; rates'!$B$27)&gt;5000,BC48*0.05,0)</f>
        <v>0</v>
      </c>
      <c r="BF48" s="2">
        <f>BC48+BD48+BE48</f>
        <v>0</v>
      </c>
    </row>
    <row r="49" spans="1:58" ht="26">
      <c r="A49" s="15"/>
      <c r="B49" s="15"/>
      <c r="C49" s="18"/>
      <c r="D49" s="18"/>
      <c r="E49" s="18"/>
      <c r="F49" s="18"/>
      <c r="G49" s="439" t="s">
        <v>1971</v>
      </c>
      <c r="H49" s="508">
        <f>SUMPRODUCT($D8:$D46,H8:H46)</f>
        <v>0</v>
      </c>
      <c r="I49" s="508">
        <f>SUMPRODUCT($D8:$D46,I8:I46)</f>
        <v>0</v>
      </c>
      <c r="J49" s="508">
        <f>SUMPRODUCT($D8:$D46,J8:J46)</f>
        <v>0</v>
      </c>
      <c r="K49" s="508">
        <f>SUMPRODUCT($D8:$D46,K8:K46)</f>
        <v>0</v>
      </c>
      <c r="L49" s="508">
        <f>SUMPRODUCT($D8:$D46,L8:L46)</f>
        <v>0</v>
      </c>
      <c r="M49" s="508">
        <f>SUMPRODUCT($D8:$D46,M8:M46)</f>
        <v>0</v>
      </c>
      <c r="N49" s="508">
        <f>SUMPRODUCT($D8:$D46,N8:N46)</f>
        <v>0</v>
      </c>
      <c r="O49" s="508">
        <f>SUMPRODUCT($D8:$D46,O8:O46)</f>
        <v>0</v>
      </c>
      <c r="P49" s="508">
        <f>SUMPRODUCT($D8:$D46,P8:P46)</f>
        <v>0</v>
      </c>
      <c r="Q49" s="508">
        <f>SUMPRODUCT($D8:$D46,Q8:Q46)</f>
        <v>0</v>
      </c>
      <c r="R49" s="508">
        <f>SUMPRODUCT($D8:$D46,R8:R46)</f>
        <v>0</v>
      </c>
      <c r="S49" s="508">
        <f>SUMPRODUCT($D8:$D46,S8:S46)</f>
        <v>0</v>
      </c>
      <c r="T49" s="508">
        <f>SUMPRODUCT($D8:$D46,T8:T46)</f>
        <v>0</v>
      </c>
      <c r="U49" s="508">
        <f>SUMPRODUCT($D8:$D46,U8:U46)</f>
        <v>0</v>
      </c>
      <c r="V49" s="508">
        <f>SUMPRODUCT($D8:$D46,V8:V46)</f>
        <v>0</v>
      </c>
      <c r="W49" s="508">
        <f>SUMPRODUCT($D8:$D46,W8:W46)</f>
        <v>0</v>
      </c>
      <c r="X49" s="508">
        <f>SUMPRODUCT($D8:$D46,X8:X46)</f>
        <v>0</v>
      </c>
      <c r="Y49" s="508">
        <f>SUMPRODUCT($D8:$D46,Y8:Y46)</f>
        <v>0</v>
      </c>
      <c r="Z49" s="508">
        <f>SUMPRODUCT($D8:$D46,Z8:Z46)</f>
        <v>0</v>
      </c>
      <c r="AA49" s="508">
        <f>SUMPRODUCT($D8:$D46,AA8:AA46)</f>
        <v>0</v>
      </c>
      <c r="AB49" s="508">
        <f>SUMPRODUCT($D8:$D46,AB8:AB46)</f>
        <v>0</v>
      </c>
      <c r="AC49" s="508">
        <f>SUMPRODUCT($D8:$D46,AC8:AC46)</f>
        <v>0</v>
      </c>
      <c r="AD49" s="508">
        <f>SUMPRODUCT($D8:$D46,AD8:AD46)</f>
        <v>0</v>
      </c>
      <c r="AE49" s="508">
        <f>SUMPRODUCT($D8:$D46,AE8:AE46)</f>
        <v>0</v>
      </c>
      <c r="AF49" s="508">
        <f>SUMPRODUCT($D8:$D46,AF8:AF46)</f>
        <v>0</v>
      </c>
      <c r="AG49" s="508">
        <f>SUMPRODUCT($D8:$D46,AG8:AG46)</f>
        <v>0</v>
      </c>
      <c r="AH49" s="508">
        <f>SUMPRODUCT($D8:$D46,AH8:AH46)</f>
        <v>0</v>
      </c>
      <c r="AI49" s="508">
        <f>SUMPRODUCT($D8:$D46,AI8:AI46)</f>
        <v>0</v>
      </c>
      <c r="AJ49" s="508">
        <f>SUMPRODUCT($D8:$D46,AJ8:AJ46)</f>
        <v>0</v>
      </c>
      <c r="AK49" s="508">
        <f>SUMPRODUCT($D8:$D46,AK8:AK46)</f>
        <v>0</v>
      </c>
      <c r="AL49" s="508">
        <f>SUMPRODUCT($D8:$D46,AL8:AL46)</f>
        <v>0</v>
      </c>
      <c r="AM49" s="508">
        <f>SUMPRODUCT($D8:$D46,AM8:AM46)</f>
        <v>0</v>
      </c>
      <c r="AN49" s="508">
        <f>SUMPRODUCT($D8:$D46,AN8:AN46)</f>
        <v>0</v>
      </c>
      <c r="AO49" s="508">
        <f>SUMPRODUCT($D8:$D46,AO8:AO46)</f>
        <v>0</v>
      </c>
      <c r="AP49" s="508">
        <f>SUMPRODUCT($D8:$D46,AP8:AP46)</f>
        <v>0</v>
      </c>
      <c r="AQ49" s="429"/>
      <c r="AR49" s="440">
        <f>SUM(H49:AP49)*'Study Information &amp; rates'!C101</f>
        <v>0</v>
      </c>
      <c r="AS49" s="440">
        <f>IF('Study Information &amp; rates'!$B$44="Yes",AR49*0.287,0)</f>
        <v>0</v>
      </c>
      <c r="AT49" s="440">
        <f>IF('Study Information &amp; rates'!$B$44="No",0,AR49*0.05)</f>
        <v>0</v>
      </c>
      <c r="AU49" s="440">
        <f>AR49+AS49+AT49</f>
        <v>0</v>
      </c>
      <c r="AV49" s="440">
        <f>'Set-up and other costs'!$B$18*AU49</f>
        <v>0</v>
      </c>
      <c r="BB49" s="4">
        <f>SUMIF($BH:$BH,1,$D:$D)+SUMIF($BJ:$BJ,1,$D:$D)</f>
        <v>0</v>
      </c>
      <c r="BC49" s="275">
        <f>BB49*'Study Information &amp; rates'!$C$101</f>
        <v>0</v>
      </c>
      <c r="BD49" s="2">
        <f>IF('Study Information &amp; rates'!$B$44='Study Information &amp; rates'!$V$12,BC49*0.287,0)</f>
        <v>0</v>
      </c>
      <c r="BE49" s="2">
        <f>IF(($AR$52*'Study Information &amp; rates'!$B$27)&gt;5000,BC49*0.05,0)</f>
        <v>0</v>
      </c>
      <c r="BF49" s="2">
        <f>BC49+BD49+BE49</f>
        <v>0</v>
      </c>
    </row>
    <row r="50" spans="1:58" ht="26">
      <c r="A50" s="15"/>
      <c r="B50" s="15"/>
      <c r="C50" s="18"/>
      <c r="D50" s="18"/>
      <c r="E50" s="18"/>
      <c r="F50" s="18"/>
      <c r="G50" s="439" t="s">
        <v>32</v>
      </c>
      <c r="H50" s="508">
        <f>SUMPRODUCT($E$8:$E46,H8:H46)</f>
        <v>0</v>
      </c>
      <c r="I50" s="508">
        <f>SUMPRODUCT($E$8:$E46,I8:I46)</f>
        <v>0</v>
      </c>
      <c r="J50" s="508">
        <f>SUMPRODUCT($E$8:$E46,J8:J46)</f>
        <v>0</v>
      </c>
      <c r="K50" s="508">
        <f>SUMPRODUCT($E$8:$E46,K8:K46)</f>
        <v>0</v>
      </c>
      <c r="L50" s="508">
        <f>SUMPRODUCT($E$8:$E46,L8:L46)</f>
        <v>0</v>
      </c>
      <c r="M50" s="508">
        <f>SUMPRODUCT($E$8:$E46,M8:M46)</f>
        <v>0</v>
      </c>
      <c r="N50" s="508">
        <f>SUMPRODUCT($E$8:$E46,N8:N46)</f>
        <v>0</v>
      </c>
      <c r="O50" s="508">
        <f>SUMPRODUCT($E$8:$E46,O8:O46)</f>
        <v>0</v>
      </c>
      <c r="P50" s="508">
        <f>SUMPRODUCT($E$8:$E46,P8:P46)</f>
        <v>0</v>
      </c>
      <c r="Q50" s="508">
        <f>SUMPRODUCT($E$8:$E46,Q8:Q46)</f>
        <v>0</v>
      </c>
      <c r="R50" s="508">
        <f>SUMPRODUCT($E$8:$E46,R8:R46)</f>
        <v>0</v>
      </c>
      <c r="S50" s="508">
        <f>SUMPRODUCT($E$8:$E46,S8:S46)</f>
        <v>0</v>
      </c>
      <c r="T50" s="508">
        <f>SUMPRODUCT($E$8:$E46,T8:T46)</f>
        <v>0</v>
      </c>
      <c r="U50" s="508">
        <f>SUMPRODUCT($E$8:$E46,U8:U46)</f>
        <v>0</v>
      </c>
      <c r="V50" s="508">
        <f>SUMPRODUCT($E$8:$E46,V8:V46)</f>
        <v>0</v>
      </c>
      <c r="W50" s="508">
        <f>SUMPRODUCT($E$8:$E46,W8:W46)</f>
        <v>0</v>
      </c>
      <c r="X50" s="508">
        <f>SUMPRODUCT($E$8:$E46,X8:X46)</f>
        <v>0</v>
      </c>
      <c r="Y50" s="508">
        <f>SUMPRODUCT($E$8:$E46,Y8:Y46)</f>
        <v>0</v>
      </c>
      <c r="Z50" s="508">
        <f>SUMPRODUCT($E$8:$E46,Z8:Z46)</f>
        <v>0</v>
      </c>
      <c r="AA50" s="508">
        <f>SUMPRODUCT($E$8:$E46,AA8:AA46)</f>
        <v>0</v>
      </c>
      <c r="AB50" s="508">
        <f>SUMPRODUCT($E$8:$E46,AB8:AB46)</f>
        <v>0</v>
      </c>
      <c r="AC50" s="508">
        <f>SUMPRODUCT($E$8:$E46,AC8:AC46)</f>
        <v>0</v>
      </c>
      <c r="AD50" s="508">
        <f>SUMPRODUCT($E$8:$E46,AD8:AD46)</f>
        <v>0</v>
      </c>
      <c r="AE50" s="508">
        <f>SUMPRODUCT($E$8:$E46,AE8:AE46)</f>
        <v>0</v>
      </c>
      <c r="AF50" s="508">
        <f>SUMPRODUCT($E$8:$E46,AF8:AF46)</f>
        <v>0</v>
      </c>
      <c r="AG50" s="508">
        <f>SUMPRODUCT($E$8:$E46,AG8:AG46)</f>
        <v>0</v>
      </c>
      <c r="AH50" s="508">
        <f>SUMPRODUCT($E$8:$E46,AH8:AH46)</f>
        <v>0</v>
      </c>
      <c r="AI50" s="508">
        <f>SUMPRODUCT($E$8:$E46,AI8:AI46)</f>
        <v>0</v>
      </c>
      <c r="AJ50" s="508">
        <f>SUMPRODUCT($E$8:$E46,AJ8:AJ46)</f>
        <v>0</v>
      </c>
      <c r="AK50" s="508">
        <f>SUMPRODUCT($E$8:$E46,AK8:AK46)</f>
        <v>0</v>
      </c>
      <c r="AL50" s="508">
        <f>SUMPRODUCT($E$8:$E46,AL8:AL46)</f>
        <v>0</v>
      </c>
      <c r="AM50" s="508">
        <f>SUMPRODUCT($E$8:$E46,AM8:AM46)</f>
        <v>0</v>
      </c>
      <c r="AN50" s="508">
        <f>SUMPRODUCT($E$8:$E46,AN8:AN46)</f>
        <v>0</v>
      </c>
      <c r="AO50" s="508">
        <f>SUMPRODUCT($E$8:$E46,AO8:AO46)</f>
        <v>0</v>
      </c>
      <c r="AP50" s="508">
        <f>SUMPRODUCT($E$8:$E46,AP8:AP46)</f>
        <v>0</v>
      </c>
      <c r="AQ50" s="429"/>
      <c r="AR50" s="440">
        <f>SUM(H50:AP50)*'Study Information &amp; rates'!D101</f>
        <v>0</v>
      </c>
      <c r="AS50" s="440">
        <f>IF('Study Information &amp; rates'!$B$44="Yes",AR50*0.287,0)</f>
        <v>0</v>
      </c>
      <c r="AT50" s="440">
        <f>IF('Study Information &amp; rates'!$B$44="No",0,AR50*0.05)</f>
        <v>0</v>
      </c>
      <c r="AU50" s="440">
        <f>AR50+AS50+AT50</f>
        <v>0</v>
      </c>
      <c r="AV50" s="440">
        <f>'Set-up and other costs'!$B$18*AU50</f>
        <v>0</v>
      </c>
      <c r="BB50" s="4">
        <f>SUMIF($BH:$BH,1,$E:$E)+SUMIF($BJ:$BJ,1,$E:$E)</f>
        <v>0</v>
      </c>
      <c r="BC50" s="275">
        <f>BB50*'Study Information &amp; rates'!$D$101</f>
        <v>0</v>
      </c>
      <c r="BD50" s="2">
        <f>IF('Study Information &amp; rates'!$B$44='Study Information &amp; rates'!$V$12,BC50*0.287,0)</f>
        <v>0</v>
      </c>
      <c r="BE50" s="2">
        <f>IF(($AR$52*'Study Information &amp; rates'!$B$27)&gt;5000,BC50*0.05,0)</f>
        <v>0</v>
      </c>
      <c r="BF50" s="2">
        <f>BC50+BD50+BE50</f>
        <v>0</v>
      </c>
    </row>
    <row r="51" spans="1:58" ht="26">
      <c r="A51" s="15"/>
      <c r="B51" s="15"/>
      <c r="C51" s="18"/>
      <c r="D51" s="18"/>
      <c r="E51" s="18"/>
      <c r="F51" s="18"/>
      <c r="G51" s="439" t="s">
        <v>46</v>
      </c>
      <c r="H51" s="508">
        <f>SUMPRODUCT($F$8:$F46,H8:H46)</f>
        <v>0</v>
      </c>
      <c r="I51" s="508">
        <f>SUMPRODUCT($F$8:$F46,I8:I46)</f>
        <v>0</v>
      </c>
      <c r="J51" s="508">
        <f>SUMPRODUCT($F$8:$F46,J8:J46)</f>
        <v>0</v>
      </c>
      <c r="K51" s="508">
        <f>SUMPRODUCT($F$8:$F46,K8:K46)</f>
        <v>0</v>
      </c>
      <c r="L51" s="508">
        <f>SUMPRODUCT($F$8:$F46,L8:L46)</f>
        <v>0</v>
      </c>
      <c r="M51" s="508">
        <f>SUMPRODUCT($F$8:$F46,M8:M46)</f>
        <v>0</v>
      </c>
      <c r="N51" s="508">
        <f>SUMPRODUCT($F$8:$F46,N8:N46)</f>
        <v>0</v>
      </c>
      <c r="O51" s="508">
        <f>SUMPRODUCT($F$8:$F46,O8:O46)</f>
        <v>0</v>
      </c>
      <c r="P51" s="508">
        <f>SUMPRODUCT($F$8:$F46,P8:P46)</f>
        <v>0</v>
      </c>
      <c r="Q51" s="508">
        <f>SUMPRODUCT($F$8:$F46,Q8:Q46)</f>
        <v>0</v>
      </c>
      <c r="R51" s="508">
        <f>SUMPRODUCT($F$8:$F46,R8:R46)</f>
        <v>0</v>
      </c>
      <c r="S51" s="508">
        <f>SUMPRODUCT($F$8:$F46,S8:S46)</f>
        <v>0</v>
      </c>
      <c r="T51" s="508">
        <f>SUMPRODUCT($F$8:$F46,T8:T46)</f>
        <v>0</v>
      </c>
      <c r="U51" s="508">
        <f>SUMPRODUCT($F$8:$F46,U8:U46)</f>
        <v>0</v>
      </c>
      <c r="V51" s="508">
        <f>SUMPRODUCT($F$8:$F46,V8:V46)</f>
        <v>0</v>
      </c>
      <c r="W51" s="508">
        <f>SUMPRODUCT($F$8:$F46,W8:W46)</f>
        <v>0</v>
      </c>
      <c r="X51" s="508">
        <f>SUMPRODUCT($F$8:$F46,X8:X46)</f>
        <v>0</v>
      </c>
      <c r="Y51" s="508">
        <f>SUMPRODUCT($F$8:$F46,Y8:Y46)</f>
        <v>0</v>
      </c>
      <c r="Z51" s="508">
        <f>SUMPRODUCT($F$8:$F46,Z8:Z46)</f>
        <v>0</v>
      </c>
      <c r="AA51" s="508">
        <f>SUMPRODUCT($F$8:$F46,AA8:AA46)</f>
        <v>0</v>
      </c>
      <c r="AB51" s="508">
        <f>SUMPRODUCT($F$8:$F46,AB8:AB46)</f>
        <v>0</v>
      </c>
      <c r="AC51" s="508">
        <f>SUMPRODUCT($F$8:$F46,AC8:AC46)</f>
        <v>0</v>
      </c>
      <c r="AD51" s="508">
        <f>SUMPRODUCT($F$8:$F46,AD8:AD46)</f>
        <v>0</v>
      </c>
      <c r="AE51" s="508">
        <f>SUMPRODUCT($F$8:$F46,AE8:AE46)</f>
        <v>0</v>
      </c>
      <c r="AF51" s="508">
        <f>SUMPRODUCT($F$8:$F46,AF8:AF46)</f>
        <v>0</v>
      </c>
      <c r="AG51" s="508">
        <f>SUMPRODUCT($F$8:$F46,AG8:AG46)</f>
        <v>0</v>
      </c>
      <c r="AH51" s="508">
        <f>SUMPRODUCT($F$8:$F46,AH8:AH46)</f>
        <v>0</v>
      </c>
      <c r="AI51" s="508">
        <f>SUMPRODUCT($F$8:$F46,AI8:AI46)</f>
        <v>0</v>
      </c>
      <c r="AJ51" s="508">
        <f>SUMPRODUCT($F$8:$F46,AJ8:AJ46)</f>
        <v>0</v>
      </c>
      <c r="AK51" s="508">
        <f>SUMPRODUCT($F$8:$F46,AK8:AK46)</f>
        <v>0</v>
      </c>
      <c r="AL51" s="508">
        <f>SUMPRODUCT($F$8:$F46,AL8:AL46)</f>
        <v>0</v>
      </c>
      <c r="AM51" s="508">
        <f>SUMPRODUCT($F$8:$F46,AM8:AM46)</f>
        <v>0</v>
      </c>
      <c r="AN51" s="508">
        <f>SUMPRODUCT($F$8:$F46,AN8:AN46)</f>
        <v>0</v>
      </c>
      <c r="AO51" s="508">
        <f>SUMPRODUCT($F$8:$F46,AO8:AO46)</f>
        <v>0</v>
      </c>
      <c r="AP51" s="508">
        <f>SUMPRODUCT($F$8:$F46,AP8:AP46)</f>
        <v>0</v>
      </c>
      <c r="AQ51" s="429"/>
      <c r="AR51" s="440">
        <f>SUM(H51:AP51)*'Study Information &amp; rates'!F101</f>
        <v>0</v>
      </c>
      <c r="AS51" s="440">
        <f>IF('Study Information &amp; rates'!$B$44="Yes",AR51*0.287,0)</f>
        <v>0</v>
      </c>
      <c r="AT51" s="440">
        <f>IF('Study Information &amp; rates'!$B$44="No",0,AR51*0.05)</f>
        <v>0</v>
      </c>
      <c r="AU51" s="440">
        <f>AR51+AS51+AT51</f>
        <v>0</v>
      </c>
      <c r="AV51" s="440">
        <f>'Set-up and other costs'!$B$18*AU51</f>
        <v>0</v>
      </c>
      <c r="AW51" s="13" t="b">
        <f>AR52=AR47</f>
        <v>1</v>
      </c>
      <c r="AX51" s="13" t="b">
        <f>AS52=AS47</f>
        <v>1</v>
      </c>
      <c r="AY51" s="13" t="b">
        <f>AT52=AT47</f>
        <v>1</v>
      </c>
      <c r="AZ51" s="13" t="b">
        <f>AV52=AV47</f>
        <v>1</v>
      </c>
      <c r="BB51" s="4">
        <f>SUMIF($BH:$BH,1,$F:$F)+SUMIF($BJ:$BJ,1,$F:$F)</f>
        <v>0</v>
      </c>
      <c r="BC51" s="275">
        <f>BB51*'Study Information &amp; rates'!$F$101</f>
        <v>0</v>
      </c>
      <c r="BD51" s="2">
        <f>IF('Study Information &amp; rates'!$B$44='Study Information &amp; rates'!$V$12,BC51*0.287,0)</f>
        <v>0</v>
      </c>
      <c r="BE51" s="2">
        <f>IF(($AR$52*'Study Information &amp; rates'!$B$27)&gt;5000,BC51*0.05,0)</f>
        <v>0</v>
      </c>
      <c r="BF51" s="2">
        <f>BC51+BD51+BE51</f>
        <v>0</v>
      </c>
    </row>
    <row r="52" spans="1:48">
      <c r="A52" s="13"/>
      <c r="B52" s="13"/>
      <c r="C52" s="13"/>
      <c r="D52" s="13"/>
      <c r="E52" s="13"/>
      <c r="F52" s="13"/>
      <c r="G52" s="13"/>
      <c r="AQ52" s="454"/>
      <c r="AR52" s="511">
        <f>SUM(AR48:AR51)</f>
        <v>0</v>
      </c>
      <c r="AS52" s="511">
        <f>SUM(AS48:AS51)</f>
        <v>0</v>
      </c>
      <c r="AT52" s="457">
        <f>SUM(AT48:AT51)</f>
        <v>0</v>
      </c>
      <c r="AU52" s="457">
        <f>SUM(AU48:AU51)</f>
        <v>0</v>
      </c>
      <c r="AV52" s="440">
        <f>'Set-up and other costs'!$B$18*AU52</f>
        <v>0</v>
      </c>
    </row>
    <row r="53" spans="1:48" ht="15.5">
      <c r="A53" s="19" t="s">
        <v>22</v>
      </c>
      <c r="B53" s="19"/>
      <c r="C53" s="13"/>
      <c r="D53" s="13"/>
      <c r="E53" s="13"/>
      <c r="F53" s="13"/>
      <c r="G53" s="13"/>
      <c r="AQ53" s="454"/>
      <c r="AR53" s="510"/>
      <c r="AS53" s="510"/>
      <c r="AT53" s="510"/>
      <c r="AU53" s="511">
        <f>AU52-AU47</f>
        <v>0</v>
      </c>
      <c r="AV53" s="510"/>
    </row>
    <row r="54" spans="1:48">
      <c r="A54" s="16"/>
      <c r="B54" s="16"/>
      <c r="AQ54" s="454"/>
      <c r="AR54" s="510"/>
      <c r="AS54" s="510"/>
      <c r="AT54" s="510"/>
      <c r="AU54" s="510"/>
      <c r="AV54" s="510"/>
    </row>
    <row r="55" spans="1:48" ht="43.5" customHeight="1">
      <c r="A55" s="446" t="s">
        <v>20</v>
      </c>
      <c r="B55" s="430" t="s">
        <v>2059</v>
      </c>
      <c r="C55" s="563" t="s">
        <v>2024</v>
      </c>
      <c r="D55" s="466"/>
      <c r="E55" s="466"/>
      <c r="F55" s="445"/>
      <c r="G55" s="446" t="s">
        <v>21</v>
      </c>
      <c r="H55" s="430" t="s">
        <v>19</v>
      </c>
      <c r="I55" s="430" t="str">
        <f>I7</f>
        <v>Visit 2</v>
      </c>
      <c r="J55" s="430" t="str">
        <f>J7</f>
        <v>Visit 3</v>
      </c>
      <c r="K55" s="430" t="str">
        <f>K7</f>
        <v>Visit 4</v>
      </c>
      <c r="L55" s="430" t="str">
        <f>L7</f>
        <v>Visit 5</v>
      </c>
      <c r="M55" s="430" t="str">
        <f>M7</f>
        <v>Visit 6</v>
      </c>
      <c r="N55" s="430" t="str">
        <f>N7</f>
        <v>Visit 7</v>
      </c>
      <c r="O55" s="430" t="str">
        <f>O7</f>
        <v>Visit 8</v>
      </c>
      <c r="P55" s="430" t="str">
        <f>P7</f>
        <v>Visit 9</v>
      </c>
      <c r="Q55" s="430" t="str">
        <f>Q7</f>
        <v>Visit 10</v>
      </c>
      <c r="R55" s="430" t="str">
        <f>R7</f>
        <v>Visit 11</v>
      </c>
      <c r="S55" s="430" t="str">
        <f>S7</f>
        <v>Visit 12</v>
      </c>
      <c r="T55" s="430" t="str">
        <f>T7</f>
        <v>Visit 13</v>
      </c>
      <c r="U55" s="430" t="str">
        <f>U7</f>
        <v>Visit 14</v>
      </c>
      <c r="V55" s="430" t="str">
        <f>V7</f>
        <v>Visit 15</v>
      </c>
      <c r="W55" s="430" t="str">
        <f>W7</f>
        <v>Visit 16</v>
      </c>
      <c r="X55" s="430" t="str">
        <f>X7</f>
        <v>Visit 17</v>
      </c>
      <c r="Y55" s="430" t="str">
        <f>Y7</f>
        <v>Visit 18</v>
      </c>
      <c r="Z55" s="430" t="str">
        <f>Z7</f>
        <v>Visit 19</v>
      </c>
      <c r="AA55" s="430" t="str">
        <f>AA7</f>
        <v>Visit 20</v>
      </c>
      <c r="AB55" s="430" t="str">
        <f>AB7</f>
        <v>Visit 21</v>
      </c>
      <c r="AC55" s="430" t="str">
        <f>AC7</f>
        <v>Visit 22</v>
      </c>
      <c r="AD55" s="430" t="str">
        <f>AD7</f>
        <v>Visit 23</v>
      </c>
      <c r="AE55" s="430" t="str">
        <f>AE7</f>
        <v>Visit 24</v>
      </c>
      <c r="AF55" s="430" t="str">
        <f>AF7</f>
        <v>Visit 25</v>
      </c>
      <c r="AG55" s="430" t="str">
        <f>AG7</f>
        <v>Visit 26</v>
      </c>
      <c r="AH55" s="430" t="str">
        <f>AH7</f>
        <v>Visit 27</v>
      </c>
      <c r="AI55" s="430" t="str">
        <f>AI7</f>
        <v>Visit 28</v>
      </c>
      <c r="AJ55" s="430" t="str">
        <f>AJ7</f>
        <v>Visit 29</v>
      </c>
      <c r="AK55" s="430" t="str">
        <f>AK7</f>
        <v>Visit 30</v>
      </c>
      <c r="AL55" s="430" t="str">
        <f>AL7</f>
        <v>Visit 31</v>
      </c>
      <c r="AM55" s="430" t="str">
        <f>AM7</f>
        <v>Visit 32</v>
      </c>
      <c r="AN55" s="430" t="str">
        <f>AN7</f>
        <v>Visit 33</v>
      </c>
      <c r="AO55" s="430" t="str">
        <f>AO7</f>
        <v>Visit 34</v>
      </c>
      <c r="AP55" s="430" t="str">
        <f>AP7</f>
        <v>Visit 35</v>
      </c>
      <c r="AQ55" s="434"/>
      <c r="AR55" s="439" t="s">
        <v>3</v>
      </c>
      <c r="AS55" s="439" t="s">
        <v>5</v>
      </c>
      <c r="AT55" s="439" t="s">
        <v>1852</v>
      </c>
      <c r="AU55" s="439" t="s">
        <v>2251</v>
      </c>
      <c r="AV55" s="439" t="s">
        <v>2252</v>
      </c>
    </row>
    <row r="56" spans="1:67" ht="15.75" customHeight="1">
      <c r="A56" s="8"/>
      <c r="B56" s="8"/>
      <c r="C56" s="444"/>
      <c r="D56" s="459"/>
      <c r="E56" s="459"/>
      <c r="F56" s="443"/>
      <c r="G56" s="463">
        <f>IF(ISERROR(VLOOKUP(A56,'Data Sheet Costs'!$A:$C,3,FALSE)),0,VLOOKUP(A56,'Data Sheet Costs'!$A:$C,3,FALSE))</f>
        <v>0</v>
      </c>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433"/>
      <c r="AR56" s="440">
        <f>(SUM(H56:AP56))*G56</f>
        <v>0</v>
      </c>
      <c r="AS56" s="440">
        <f>IF('Study Information &amp; rates'!$B$44="Yes",AR56*0.287,0)</f>
        <v>0</v>
      </c>
      <c r="AT56" s="440">
        <f>IF('Study Information &amp; rates'!$B$44="No",0,AR56*0.05)</f>
        <v>0</v>
      </c>
      <c r="AU56" s="440">
        <f>AR56+AS56+AT56</f>
        <v>0</v>
      </c>
      <c r="AV56" s="440">
        <f>'Set-up and other costs'!$B$18*'Per patient Arm 5'!AU8</f>
        <v>0</v>
      </c>
      <c r="BG56" s="6" t="b">
        <f>IF($B56='Look Up'!$A$5,$H56)</f>
        <v>0</v>
      </c>
      <c r="BH56" s="6" t="b">
        <f>IF($B56='Look Up'!$A$6,$H56)</f>
        <v>0</v>
      </c>
      <c r="BI56" s="6" t="b">
        <f>IF($B56='Look Up'!$A$7,$H56)</f>
        <v>0</v>
      </c>
      <c r="BJ56" s="6" t="b">
        <f>IF($B56='Look Up'!$A$7,$H56)</f>
        <v>0</v>
      </c>
      <c r="BO56" s="6" t="str">
        <f>C56&amp;B56</f>
        <v/>
      </c>
    </row>
    <row r="57" spans="1:67">
      <c r="A57" s="8"/>
      <c r="B57" s="8"/>
      <c r="C57" s="444"/>
      <c r="D57" s="442"/>
      <c r="E57" s="442"/>
      <c r="F57" s="462"/>
      <c r="G57" s="463">
        <f>IF(ISERROR(VLOOKUP(A57,'Data Sheet Costs'!$A:$C,3,FALSE)),0,VLOOKUP(A57,'Data Sheet Costs'!$A:$C,3,FALSE))</f>
        <v>0</v>
      </c>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427"/>
      <c r="AR57" s="440">
        <f>(SUM(H57:AP57))*G57</f>
        <v>0</v>
      </c>
      <c r="AS57" s="440">
        <f>IF('Study Information &amp; rates'!$B$44="Yes",AR57*0.287,0)</f>
        <v>0</v>
      </c>
      <c r="AT57" s="440">
        <f>IF('Study Information &amp; rates'!$B$44="No",0,AR57*0.05)</f>
        <v>0</v>
      </c>
      <c r="AU57" s="440">
        <f>AR57+AS57+AT57</f>
        <v>0</v>
      </c>
      <c r="AV57" s="440">
        <f>'Set-up and other costs'!$B$18*AU57</f>
        <v>0</v>
      </c>
      <c r="BG57" s="6" t="b">
        <f>IF($B57='Look Up'!$A$5,$H57)</f>
        <v>0</v>
      </c>
      <c r="BH57" s="6" t="b">
        <f>IF($B57='Look Up'!$A$6,$H57)</f>
        <v>0</v>
      </c>
      <c r="BI57" s="6" t="b">
        <f>IF($B57='Look Up'!$A$7,$H57)</f>
        <v>0</v>
      </c>
      <c r="BJ57" s="6" t="b">
        <f>IF($B57='Look Up'!$A$7,$H57)</f>
        <v>0</v>
      </c>
      <c r="BO57" s="6" t="str">
        <f>C57&amp;B57</f>
        <v/>
      </c>
    </row>
    <row r="58" spans="1:67">
      <c r="A58" s="8"/>
      <c r="B58" s="8"/>
      <c r="C58" s="444"/>
      <c r="D58" s="442"/>
      <c r="E58" s="442"/>
      <c r="F58" s="462"/>
      <c r="G58" s="463">
        <f>IF(ISERROR(VLOOKUP(A58,'Data Sheet Costs'!$A:$C,3,FALSE)),0,VLOOKUP(A58,'Data Sheet Costs'!$A:$C,3,FALSE))</f>
        <v>0</v>
      </c>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427"/>
      <c r="AR58" s="440">
        <f>(SUM(H58:AP58))*G58</f>
        <v>0</v>
      </c>
      <c r="AS58" s="440">
        <f>IF('Study Information &amp; rates'!$B$44="Yes",AR58*0.287,0)</f>
        <v>0</v>
      </c>
      <c r="AT58" s="440">
        <f>IF('Study Information &amp; rates'!$B$44="No",0,AR58*0.05)</f>
        <v>0</v>
      </c>
      <c r="AU58" s="440">
        <f>AR58+AS58+AT58</f>
        <v>0</v>
      </c>
      <c r="AV58" s="440">
        <f>'Set-up and other costs'!$B$18*AU58</f>
        <v>0</v>
      </c>
      <c r="BG58" s="6" t="b">
        <f>IF($B58='Look Up'!$A$5,$H58)</f>
        <v>0</v>
      </c>
      <c r="BH58" s="6" t="b">
        <f>IF($B58='Look Up'!$A$6,$H58)</f>
        <v>0</v>
      </c>
      <c r="BI58" s="6" t="b">
        <f>IF($B58='Look Up'!$A$7,$H58)</f>
        <v>0</v>
      </c>
      <c r="BJ58" s="6" t="b">
        <f>IF($B58='Look Up'!$A$7,$H58)</f>
        <v>0</v>
      </c>
      <c r="BO58" s="6" t="str">
        <f>C58&amp;B58</f>
        <v/>
      </c>
    </row>
    <row r="59" spans="1:67">
      <c r="A59" s="8"/>
      <c r="B59" s="8"/>
      <c r="C59" s="444"/>
      <c r="D59" s="442"/>
      <c r="E59" s="442"/>
      <c r="F59" s="462"/>
      <c r="G59" s="463">
        <f>IF(ISERROR(VLOOKUP(A59,'Data Sheet Costs'!$A:$C,3,FALSE)),0,VLOOKUP(A59,'Data Sheet Costs'!$A:$C,3,FALSE))</f>
        <v>0</v>
      </c>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427"/>
      <c r="AR59" s="440">
        <f>(SUM(H59:AP59))*G59</f>
        <v>0</v>
      </c>
      <c r="AS59" s="440">
        <f>IF('Study Information &amp; rates'!$B$44="Yes",AR59*0.287,0)</f>
        <v>0</v>
      </c>
      <c r="AT59" s="440">
        <f>IF('Study Information &amp; rates'!$B$44="No",0,AR59*0.05)</f>
        <v>0</v>
      </c>
      <c r="AU59" s="440">
        <f>AR59+AS59+AT59</f>
        <v>0</v>
      </c>
      <c r="AV59" s="440">
        <f>'Set-up and other costs'!$B$18*AU59</f>
        <v>0</v>
      </c>
      <c r="BG59" s="6" t="b">
        <f>IF($B59='Look Up'!$A$5,$H59)</f>
        <v>0</v>
      </c>
      <c r="BH59" s="6" t="b">
        <f>IF($B59='Look Up'!$A$6,$H59)</f>
        <v>0</v>
      </c>
      <c r="BI59" s="6" t="b">
        <f>IF($B59='Look Up'!$A$7,$H59)</f>
        <v>0</v>
      </c>
      <c r="BJ59" s="6" t="b">
        <f>IF($B59='Look Up'!$A$7,$H59)</f>
        <v>0</v>
      </c>
      <c r="BO59" s="6" t="str">
        <f>C59&amp;B59</f>
        <v/>
      </c>
    </row>
    <row r="60" spans="1:67" ht="15.75" customHeight="1">
      <c r="A60" s="8"/>
      <c r="B60" s="8"/>
      <c r="C60" s="444"/>
      <c r="D60" s="442"/>
      <c r="E60" s="442"/>
      <c r="F60" s="462"/>
      <c r="G60" s="463">
        <f>IF(ISERROR(VLOOKUP(A60,'Data Sheet Costs'!$A:$C,3,FALSE)),0,VLOOKUP(A60,'Data Sheet Costs'!$A:$C,3,FALSE))</f>
        <v>0</v>
      </c>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427"/>
      <c r="AR60" s="440">
        <f>(SUM(H60:AP60))*G60</f>
        <v>0</v>
      </c>
      <c r="AS60" s="440">
        <f>IF('Study Information &amp; rates'!$B$44="Yes",AR60*0.287,0)</f>
        <v>0</v>
      </c>
      <c r="AT60" s="440">
        <f>IF('Study Information &amp; rates'!$B$44="No",0,AR60*0.05)</f>
        <v>0</v>
      </c>
      <c r="AU60" s="440">
        <f>AR60+AS60+AT60</f>
        <v>0</v>
      </c>
      <c r="AV60" s="440">
        <f>'Set-up and other costs'!$B$18*AU60</f>
        <v>0</v>
      </c>
      <c r="BG60" s="6" t="b">
        <f>IF($B60='Look Up'!$A$5,$H60)</f>
        <v>0</v>
      </c>
      <c r="BH60" s="6" t="b">
        <f>IF($B60='Look Up'!$A$6,$H60)</f>
        <v>0</v>
      </c>
      <c r="BI60" s="6" t="b">
        <f>IF($B60='Look Up'!$A$7,$H60)</f>
        <v>0</v>
      </c>
      <c r="BJ60" s="6" t="b">
        <f>IF($B60='Look Up'!$A$7,$H60)</f>
        <v>0</v>
      </c>
      <c r="BO60" s="6" t="str">
        <f>C60&amp;B60</f>
        <v/>
      </c>
    </row>
    <row r="61" spans="1:67">
      <c r="A61" s="8"/>
      <c r="B61" s="8"/>
      <c r="C61" s="444"/>
      <c r="D61" s="442"/>
      <c r="E61" s="442"/>
      <c r="F61" s="462"/>
      <c r="G61" s="463">
        <f>IF(ISERROR(VLOOKUP(A61,'Data Sheet Costs'!$A:$C,3,FALSE)),0,VLOOKUP(A61,'Data Sheet Costs'!$A:$C,3,FALSE))</f>
        <v>0</v>
      </c>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427"/>
      <c r="AR61" s="440">
        <f>(SUM(H61:AP61))*G61</f>
        <v>0</v>
      </c>
      <c r="AS61" s="440">
        <f>IF('Study Information &amp; rates'!$B$44="Yes",AR61*0.287,0)</f>
        <v>0</v>
      </c>
      <c r="AT61" s="440">
        <f>IF('Study Information &amp; rates'!$B$44="No",0,AR61*0.05)</f>
        <v>0</v>
      </c>
      <c r="AU61" s="440">
        <f>AR61+AS61+AT61</f>
        <v>0</v>
      </c>
      <c r="AV61" s="440">
        <f>'Set-up and other costs'!$B$18*AU61</f>
        <v>0</v>
      </c>
      <c r="BG61" s="6" t="b">
        <f>IF($B61='Look Up'!$A$5,$H61)</f>
        <v>0</v>
      </c>
      <c r="BH61" s="6" t="b">
        <f>IF($B61='Look Up'!$A$6,$H61)</f>
        <v>0</v>
      </c>
      <c r="BI61" s="6" t="b">
        <f>IF($B61='Look Up'!$A$7,$H61)</f>
        <v>0</v>
      </c>
      <c r="BJ61" s="6" t="b">
        <f>IF($B61='Look Up'!$A$7,$H61)</f>
        <v>0</v>
      </c>
      <c r="BO61" s="6" t="str">
        <f>C61&amp;B61</f>
        <v/>
      </c>
    </row>
    <row r="62" spans="1:67" ht="15.75" customHeight="1">
      <c r="A62" s="8"/>
      <c r="B62" s="8"/>
      <c r="C62" s="444"/>
      <c r="D62" s="442"/>
      <c r="E62" s="442"/>
      <c r="F62" s="462"/>
      <c r="G62" s="463">
        <f>IF(ISERROR(VLOOKUP(A62,'Data Sheet Costs'!$A:$C,3,FALSE)),0,VLOOKUP(A62,'Data Sheet Costs'!$A:$C,3,FALSE))</f>
        <v>0</v>
      </c>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427"/>
      <c r="AR62" s="440">
        <f>(SUM(H62:AP62))*G62</f>
        <v>0</v>
      </c>
      <c r="AS62" s="440">
        <f>IF('Study Information &amp; rates'!$B$44="Yes",AR62*0.287,0)</f>
        <v>0</v>
      </c>
      <c r="AT62" s="440">
        <f>IF('Study Information &amp; rates'!$B$44="No",0,AR62*0.05)</f>
        <v>0</v>
      </c>
      <c r="AU62" s="440">
        <f>AR62+AS62+AT62</f>
        <v>0</v>
      </c>
      <c r="AV62" s="440">
        <f>'Set-up and other costs'!$B$18*AU62</f>
        <v>0</v>
      </c>
      <c r="BG62" s="6" t="b">
        <f>IF($B62='Look Up'!$A$5,$H62)</f>
        <v>0</v>
      </c>
      <c r="BH62" s="6" t="b">
        <f>IF($B62='Look Up'!$A$6,$H62)</f>
        <v>0</v>
      </c>
      <c r="BI62" s="6" t="b">
        <f>IF($B62='Look Up'!$A$7,$H62)</f>
        <v>0</v>
      </c>
      <c r="BJ62" s="6" t="b">
        <f>IF($B62='Look Up'!$A$7,$H62)</f>
        <v>0</v>
      </c>
      <c r="BO62" s="6" t="str">
        <f>C62&amp;B62</f>
        <v/>
      </c>
    </row>
    <row r="63" spans="1:67">
      <c r="A63" s="8"/>
      <c r="B63" s="8"/>
      <c r="C63" s="444"/>
      <c r="D63" s="442"/>
      <c r="E63" s="442"/>
      <c r="F63" s="462"/>
      <c r="G63" s="463">
        <f>IF(ISERROR(VLOOKUP(A63,'Data Sheet Costs'!$A:$C,3,FALSE)),0,VLOOKUP(A63,'Data Sheet Costs'!$A:$C,3,FALSE))</f>
        <v>0</v>
      </c>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427"/>
      <c r="AR63" s="440">
        <f>(SUM(H63:AP63))*G63</f>
        <v>0</v>
      </c>
      <c r="AS63" s="440">
        <f>IF('Study Information &amp; rates'!$B$44="Yes",AR63*0.287,0)</f>
        <v>0</v>
      </c>
      <c r="AT63" s="440">
        <f>IF('Study Information &amp; rates'!$B$44="No",0,AR63*0.05)</f>
        <v>0</v>
      </c>
      <c r="AU63" s="440">
        <f>AR63+AS63+AT63</f>
        <v>0</v>
      </c>
      <c r="AV63" s="440">
        <f>'Set-up and other costs'!$B$18*AU63</f>
        <v>0</v>
      </c>
      <c r="BG63" s="6" t="b">
        <f>IF($B63='Look Up'!$A$5,$H63)</f>
        <v>0</v>
      </c>
      <c r="BH63" s="6" t="b">
        <f>IF($B63='Look Up'!$A$6,$H63)</f>
        <v>0</v>
      </c>
      <c r="BI63" s="6" t="b">
        <f>IF($B63='Look Up'!$A$7,$H63)</f>
        <v>0</v>
      </c>
      <c r="BJ63" s="6" t="b">
        <f>IF($B63='Look Up'!$A$7,$H63)</f>
        <v>0</v>
      </c>
      <c r="BO63" s="6" t="str">
        <f>C63&amp;B63</f>
        <v/>
      </c>
    </row>
    <row r="64" spans="1:67">
      <c r="A64" s="8"/>
      <c r="B64" s="8"/>
      <c r="C64" s="444"/>
      <c r="D64" s="442"/>
      <c r="E64" s="442"/>
      <c r="F64" s="462"/>
      <c r="G64" s="463">
        <f>IF(ISERROR(VLOOKUP(A64,'Data Sheet Costs'!$A:$C,3,FALSE)),0,VLOOKUP(A64,'Data Sheet Costs'!$A:$C,3,FALSE))</f>
        <v>0</v>
      </c>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427"/>
      <c r="AR64" s="440">
        <f>(SUM(H64:AP64))*G64</f>
        <v>0</v>
      </c>
      <c r="AS64" s="440">
        <f>IF('Study Information &amp; rates'!$B$44="Yes",AR64*0.287,0)</f>
        <v>0</v>
      </c>
      <c r="AT64" s="440">
        <f>IF('Study Information &amp; rates'!$B$44="No",0,AR64*0.05)</f>
        <v>0</v>
      </c>
      <c r="AU64" s="440">
        <f>AR64+AS64+AT64</f>
        <v>0</v>
      </c>
      <c r="AV64" s="440">
        <f>'Set-up and other costs'!$B$18*AU64</f>
        <v>0</v>
      </c>
      <c r="BG64" s="6" t="b">
        <f>IF($B64='Look Up'!$A$5,$H64)</f>
        <v>0</v>
      </c>
      <c r="BH64" s="6" t="b">
        <f>IF($B64='Look Up'!$A$6,$H64)</f>
        <v>0</v>
      </c>
      <c r="BI64" s="6" t="b">
        <f>IF($B64='Look Up'!$A$7,$H64)</f>
        <v>0</v>
      </c>
      <c r="BJ64" s="6" t="b">
        <f>IF($B64='Look Up'!$A$7,$H64)</f>
        <v>0</v>
      </c>
      <c r="BO64" s="6" t="str">
        <f>C64&amp;B64</f>
        <v/>
      </c>
    </row>
    <row r="65" spans="1:67" ht="15.75" customHeight="1">
      <c r="A65" s="8"/>
      <c r="B65" s="8"/>
      <c r="C65" s="444"/>
      <c r="D65" s="442"/>
      <c r="E65" s="442"/>
      <c r="F65" s="462"/>
      <c r="G65" s="463">
        <f>IF(ISERROR(VLOOKUP(A65,'Data Sheet Costs'!$A:$C,3,FALSE)),0,VLOOKUP(A65,'Data Sheet Costs'!$A:$C,3,FALSE))</f>
        <v>0</v>
      </c>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427"/>
      <c r="AR65" s="440">
        <f>(SUM(H65:AP65))*G65</f>
        <v>0</v>
      </c>
      <c r="AS65" s="440">
        <f>IF('Study Information &amp; rates'!$B$44="Yes",AR65*0.287,0)</f>
        <v>0</v>
      </c>
      <c r="AT65" s="440">
        <f>IF('Study Information &amp; rates'!$B$44="No",0,AR65*0.05)</f>
        <v>0</v>
      </c>
      <c r="AU65" s="440">
        <f>AR65+AS65+AT65</f>
        <v>0</v>
      </c>
      <c r="AV65" s="440">
        <f>'Set-up and other costs'!$B$18*AU65</f>
        <v>0</v>
      </c>
      <c r="BG65" s="6" t="b">
        <f>IF($B65='Look Up'!$A$5,$H65)</f>
        <v>0</v>
      </c>
      <c r="BH65" s="6" t="b">
        <f>IF($B65='Look Up'!$A$6,$H65)</f>
        <v>0</v>
      </c>
      <c r="BI65" s="6" t="b">
        <f>IF($B65='Look Up'!$A$7,$H65)</f>
        <v>0</v>
      </c>
      <c r="BJ65" s="6" t="b">
        <f>IF($B65='Look Up'!$A$7,$H65)</f>
        <v>0</v>
      </c>
      <c r="BO65" s="6" t="str">
        <f>C65&amp;B65</f>
        <v/>
      </c>
    </row>
    <row r="66" spans="1:67">
      <c r="A66" s="8"/>
      <c r="B66" s="8"/>
      <c r="C66" s="444"/>
      <c r="D66" s="442"/>
      <c r="E66" s="442"/>
      <c r="F66" s="462"/>
      <c r="G66" s="463">
        <f>IF(ISERROR(VLOOKUP(A66,'Data Sheet Costs'!$A:$C,3,FALSE)),0,VLOOKUP(A66,'Data Sheet Costs'!$A:$C,3,FALSE))</f>
        <v>0</v>
      </c>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427"/>
      <c r="AR66" s="440">
        <f>(SUM(H66:AP66))*G66</f>
        <v>0</v>
      </c>
      <c r="AS66" s="440">
        <f>IF('Study Information &amp; rates'!$B$44="Yes",AR66*0.287,0)</f>
        <v>0</v>
      </c>
      <c r="AT66" s="440">
        <f>IF('Study Information &amp; rates'!$B$44="No",0,AR66*0.05)</f>
        <v>0</v>
      </c>
      <c r="AU66" s="440">
        <f>AR66+AS66+AT66</f>
        <v>0</v>
      </c>
      <c r="AV66" s="440">
        <f>'Set-up and other costs'!$B$18*AU66</f>
        <v>0</v>
      </c>
      <c r="BG66" s="6" t="b">
        <f>IF($B66='Look Up'!$A$5,$H66)</f>
        <v>0</v>
      </c>
      <c r="BH66" s="6" t="b">
        <f>IF($B66='Look Up'!$A$6,$H66)</f>
        <v>0</v>
      </c>
      <c r="BI66" s="6" t="b">
        <f>IF($B66='Look Up'!$A$7,$H66)</f>
        <v>0</v>
      </c>
      <c r="BJ66" s="6" t="b">
        <f>IF($B66='Look Up'!$A$7,$H66)</f>
        <v>0</v>
      </c>
      <c r="BO66" s="6" t="str">
        <f>C66&amp;B66</f>
        <v/>
      </c>
    </row>
    <row r="67" spans="1:67">
      <c r="A67" s="8"/>
      <c r="B67" s="8"/>
      <c r="C67" s="444"/>
      <c r="D67" s="442"/>
      <c r="E67" s="442"/>
      <c r="F67" s="462"/>
      <c r="G67" s="463">
        <f>IF(ISERROR(VLOOKUP(A67,'Data Sheet Costs'!$A:$C,3,FALSE)),0,VLOOKUP(A67,'Data Sheet Costs'!$A:$C,3,FALSE))</f>
        <v>0</v>
      </c>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427"/>
      <c r="AR67" s="440">
        <f>(SUM(H67:AP67))*G67</f>
        <v>0</v>
      </c>
      <c r="AS67" s="440">
        <f>IF('Study Information &amp; rates'!$B$44="Yes",AR67*0.287,0)</f>
        <v>0</v>
      </c>
      <c r="AT67" s="440">
        <f>IF('Study Information &amp; rates'!$B$44="No",0,AR67*0.05)</f>
        <v>0</v>
      </c>
      <c r="AU67" s="440">
        <f>AR67+AS67+AT67</f>
        <v>0</v>
      </c>
      <c r="AV67" s="440">
        <f>'Set-up and other costs'!$B$18*AU67</f>
        <v>0</v>
      </c>
      <c r="BG67" s="6" t="b">
        <f>IF($B67='Look Up'!$A$5,$H67)</f>
        <v>0</v>
      </c>
      <c r="BH67" s="6" t="b">
        <f>IF($B67='Look Up'!$A$6,$H67)</f>
        <v>0</v>
      </c>
      <c r="BI67" s="6" t="b">
        <f>IF($B67='Look Up'!$A$7,$H67)</f>
        <v>0</v>
      </c>
      <c r="BJ67" s="6" t="b">
        <f>IF($B67='Look Up'!$A$7,$H67)</f>
        <v>0</v>
      </c>
      <c r="BO67" s="6" t="str">
        <f>C67&amp;B67</f>
        <v/>
      </c>
    </row>
    <row r="68" spans="1:67" ht="15.75" customHeight="1">
      <c r="A68" s="8"/>
      <c r="B68" s="8"/>
      <c r="C68" s="444"/>
      <c r="D68" s="442"/>
      <c r="E68" s="442"/>
      <c r="F68" s="462"/>
      <c r="G68" s="463">
        <f>IF(ISERROR(VLOOKUP(A68,'Data Sheet Costs'!$A:$C,3,FALSE)),0,VLOOKUP(A68,'Data Sheet Costs'!$A:$C,3,FALSE))</f>
        <v>0</v>
      </c>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302"/>
      <c r="AO68" s="302"/>
      <c r="AP68" s="302"/>
      <c r="AQ68" s="427"/>
      <c r="AR68" s="440">
        <f>(SUM(H68:AP68))*G68</f>
        <v>0</v>
      </c>
      <c r="AS68" s="440">
        <f>IF('Study Information &amp; rates'!$B$44="Yes",AR68*0.287,0)</f>
        <v>0</v>
      </c>
      <c r="AT68" s="440">
        <f>IF('Study Information &amp; rates'!$B$44="No",0,AR68*0.05)</f>
        <v>0</v>
      </c>
      <c r="AU68" s="440">
        <f>AR68+AS68+AT68</f>
        <v>0</v>
      </c>
      <c r="AV68" s="440">
        <f>'Set-up and other costs'!$B$18*AU68</f>
        <v>0</v>
      </c>
      <c r="BG68" s="6" t="b">
        <f>IF($B68='Look Up'!$A$5,$H68)</f>
        <v>0</v>
      </c>
      <c r="BH68" s="6" t="b">
        <f>IF($B68='Look Up'!$A$6,$H68)</f>
        <v>0</v>
      </c>
      <c r="BI68" s="6" t="b">
        <f>IF($B68='Look Up'!$A$7,$H68)</f>
        <v>0</v>
      </c>
      <c r="BJ68" s="6" t="b">
        <f>IF($B68='Look Up'!$A$7,$H68)</f>
        <v>0</v>
      </c>
      <c r="BO68" s="6" t="str">
        <f>C68&amp;B68</f>
        <v/>
      </c>
    </row>
    <row r="69" spans="1:67">
      <c r="A69" s="8"/>
      <c r="B69" s="8"/>
      <c r="C69" s="444"/>
      <c r="D69" s="442"/>
      <c r="E69" s="442"/>
      <c r="F69" s="462"/>
      <c r="G69" s="463">
        <f>IF(ISERROR(VLOOKUP(A69,'Data Sheet Costs'!$A:$C,3,FALSE)),0,VLOOKUP(A69,'Data Sheet Costs'!$A:$C,3,FALSE))</f>
        <v>0</v>
      </c>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02"/>
      <c r="AP69" s="302"/>
      <c r="AQ69" s="427"/>
      <c r="AR69" s="440">
        <f>(SUM(H69:AP69))*G69</f>
        <v>0</v>
      </c>
      <c r="AS69" s="440">
        <f>IF('Study Information &amp; rates'!$B$44="Yes",AR69*0.287,0)</f>
        <v>0</v>
      </c>
      <c r="AT69" s="440">
        <f>IF('Study Information &amp; rates'!$B$44="No",0,AR69*0.05)</f>
        <v>0</v>
      </c>
      <c r="AU69" s="440">
        <f>AR69+AS69+AT69</f>
        <v>0</v>
      </c>
      <c r="AV69" s="440">
        <f>'Set-up and other costs'!$B$18*AU69</f>
        <v>0</v>
      </c>
      <c r="BG69" s="6" t="b">
        <f>IF($B69='Look Up'!$A$5,$H69)</f>
        <v>0</v>
      </c>
      <c r="BH69" s="6" t="b">
        <f>IF($B69='Look Up'!$A$6,$H69)</f>
        <v>0</v>
      </c>
      <c r="BI69" s="6" t="b">
        <f>IF($B69='Look Up'!$A$7,$H69)</f>
        <v>0</v>
      </c>
      <c r="BJ69" s="6" t="b">
        <f>IF($B69='Look Up'!$A$7,$H69)</f>
        <v>0</v>
      </c>
      <c r="BO69" s="6" t="str">
        <f>C69&amp;B69</f>
        <v/>
      </c>
    </row>
    <row r="70" spans="1:67">
      <c r="A70" s="8"/>
      <c r="B70" s="8"/>
      <c r="C70" s="444"/>
      <c r="D70" s="442"/>
      <c r="E70" s="442"/>
      <c r="F70" s="462"/>
      <c r="G70" s="463">
        <f>IF(ISERROR(VLOOKUP(A70,'Data Sheet Costs'!$A:$C,3,FALSE)),0,VLOOKUP(A70,'Data Sheet Costs'!$A:$C,3,FALSE))</f>
        <v>0</v>
      </c>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427"/>
      <c r="AR70" s="440">
        <f>(SUM(H70:AP70))*G70</f>
        <v>0</v>
      </c>
      <c r="AS70" s="440">
        <f>IF('Study Information &amp; rates'!$B$44="Yes",AR70*0.287,0)</f>
        <v>0</v>
      </c>
      <c r="AT70" s="440">
        <f>IF('Study Information &amp; rates'!$B$44="No",0,AR70*0.05)</f>
        <v>0</v>
      </c>
      <c r="AU70" s="440">
        <f>AR70+AS70+AT70</f>
        <v>0</v>
      </c>
      <c r="AV70" s="440">
        <f>'Set-up and other costs'!$B$18*AU70</f>
        <v>0</v>
      </c>
      <c r="BG70" s="6" t="b">
        <f>IF($B70='Look Up'!$A$5,$H70)</f>
        <v>0</v>
      </c>
      <c r="BH70" s="6" t="b">
        <f>IF($B70='Look Up'!$A$6,$H70)</f>
        <v>0</v>
      </c>
      <c r="BI70" s="6" t="b">
        <f>IF($B70='Look Up'!$A$7,$H70)</f>
        <v>0</v>
      </c>
      <c r="BJ70" s="6" t="b">
        <f>IF($B70='Look Up'!$A$7,$H70)</f>
        <v>0</v>
      </c>
      <c r="BO70" s="6" t="str">
        <f>C70&amp;B70</f>
        <v/>
      </c>
    </row>
    <row r="71" spans="1:67" ht="15.75" customHeight="1">
      <c r="A71" s="8"/>
      <c r="B71" s="8"/>
      <c r="C71" s="444"/>
      <c r="D71" s="442"/>
      <c r="E71" s="442"/>
      <c r="F71" s="462"/>
      <c r="G71" s="463">
        <f>IF(ISERROR(VLOOKUP(A71,'Data Sheet Costs'!$A:$C,3,FALSE)),0,VLOOKUP(A71,'Data Sheet Costs'!$A:$C,3,FALSE))</f>
        <v>0</v>
      </c>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427"/>
      <c r="AR71" s="440">
        <f>(SUM(H71:AP71))*G71</f>
        <v>0</v>
      </c>
      <c r="AS71" s="440">
        <f>IF('Study Information &amp; rates'!$B$44="Yes",AR71*0.287,0)</f>
        <v>0</v>
      </c>
      <c r="AT71" s="440">
        <f>IF('Study Information &amp; rates'!$B$44="No",0,AR71*0.05)</f>
        <v>0</v>
      </c>
      <c r="AU71" s="440">
        <f>AR71+AS71+AT71</f>
        <v>0</v>
      </c>
      <c r="AV71" s="440">
        <f>'Set-up and other costs'!$B$18*AU71</f>
        <v>0</v>
      </c>
      <c r="BG71" s="6" t="b">
        <f>IF($B71='Look Up'!$A$5,$H71)</f>
        <v>0</v>
      </c>
      <c r="BH71" s="6" t="b">
        <f>IF($B71='Look Up'!$A$6,$H71)</f>
        <v>0</v>
      </c>
      <c r="BI71" s="6" t="b">
        <f>IF($B71='Look Up'!$A$7,$H71)</f>
        <v>0</v>
      </c>
      <c r="BJ71" s="6" t="b">
        <f>IF($B71='Look Up'!$A$7,$H71)</f>
        <v>0</v>
      </c>
      <c r="BO71" s="6" t="str">
        <f>C71&amp;B71</f>
        <v/>
      </c>
    </row>
    <row r="72" spans="1:67">
      <c r="A72" s="8"/>
      <c r="B72" s="8"/>
      <c r="C72" s="444"/>
      <c r="D72" s="442"/>
      <c r="E72" s="442"/>
      <c r="F72" s="462"/>
      <c r="G72" s="463">
        <f>IF(ISERROR(VLOOKUP(A72,'Data Sheet Costs'!$A:$C,3,FALSE)),0,VLOOKUP(A72,'Data Sheet Costs'!$A:$C,3,FALSE))</f>
        <v>0</v>
      </c>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302"/>
      <c r="AP72" s="302"/>
      <c r="AQ72" s="427"/>
      <c r="AR72" s="440">
        <f>(SUM(H72:AP72))*G72</f>
        <v>0</v>
      </c>
      <c r="AS72" s="440">
        <f>IF('Study Information &amp; rates'!$B$44="Yes",AR72*0.287,0)</f>
        <v>0</v>
      </c>
      <c r="AT72" s="440">
        <f>IF('Study Information &amp; rates'!$B$44="No",0,AR72*0.05)</f>
        <v>0</v>
      </c>
      <c r="AU72" s="440">
        <f>AR72+AS72+AT72</f>
        <v>0</v>
      </c>
      <c r="AV72" s="440">
        <f>'Set-up and other costs'!$B$18*AU72</f>
        <v>0</v>
      </c>
      <c r="BG72" s="6" t="b">
        <f>IF($B72='Look Up'!$A$5,$H72)</f>
        <v>0</v>
      </c>
      <c r="BH72" s="6" t="b">
        <f>IF($B72='Look Up'!$A$6,$H72)</f>
        <v>0</v>
      </c>
      <c r="BI72" s="6" t="b">
        <f>IF($B72='Look Up'!$A$7,$H72)</f>
        <v>0</v>
      </c>
      <c r="BJ72" s="6" t="b">
        <f>IF($B72='Look Up'!$A$7,$H72)</f>
        <v>0</v>
      </c>
      <c r="BO72" s="6" t="str">
        <f>C72&amp;B72</f>
        <v/>
      </c>
    </row>
    <row r="73" spans="1:67">
      <c r="A73" s="8"/>
      <c r="B73" s="8"/>
      <c r="C73" s="444"/>
      <c r="D73" s="442"/>
      <c r="E73" s="442"/>
      <c r="F73" s="462"/>
      <c r="G73" s="463">
        <f>IF(ISERROR(VLOOKUP(A73,'Data Sheet Costs'!$A:$C,3,FALSE)),0,VLOOKUP(A73,'Data Sheet Costs'!$A:$C,3,FALSE))</f>
        <v>0</v>
      </c>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302"/>
      <c r="AP73" s="302"/>
      <c r="AQ73" s="427"/>
      <c r="AR73" s="440">
        <f>(SUM(H73:AP73))*G73</f>
        <v>0</v>
      </c>
      <c r="AS73" s="440">
        <f>IF('Study Information &amp; rates'!$B$44="Yes",AR73*0.287,0)</f>
        <v>0</v>
      </c>
      <c r="AT73" s="440">
        <f>IF('Study Information &amp; rates'!$B$44="No",0,AR73*0.05)</f>
        <v>0</v>
      </c>
      <c r="AU73" s="440">
        <f>AR73+AS73+AT73</f>
        <v>0</v>
      </c>
      <c r="AV73" s="440">
        <f>'Set-up and other costs'!$B$18*AU73</f>
        <v>0</v>
      </c>
      <c r="BG73" s="6" t="b">
        <f>IF($B73='Look Up'!$A$5,$H73)</f>
        <v>0</v>
      </c>
      <c r="BH73" s="6" t="b">
        <f>IF($B73='Look Up'!$A$6,$H73)</f>
        <v>0</v>
      </c>
      <c r="BI73" s="6" t="b">
        <f>IF($B73='Look Up'!$A$7,$H73)</f>
        <v>0</v>
      </c>
      <c r="BJ73" s="6" t="b">
        <f>IF($B73='Look Up'!$A$7,$H73)</f>
        <v>0</v>
      </c>
      <c r="BO73" s="6" t="str">
        <f>C73&amp;B73</f>
        <v/>
      </c>
    </row>
    <row r="74" spans="1:67" ht="15.75" customHeight="1">
      <c r="A74" s="8"/>
      <c r="B74" s="8"/>
      <c r="C74" s="444"/>
      <c r="D74" s="442"/>
      <c r="E74" s="442"/>
      <c r="F74" s="462"/>
      <c r="G74" s="463">
        <f>IF(ISERROR(VLOOKUP(A74,'Data Sheet Costs'!$A:$C,3,FALSE)),0,VLOOKUP(A74,'Data Sheet Costs'!$A:$C,3,FALSE))</f>
        <v>0</v>
      </c>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427"/>
      <c r="AR74" s="440">
        <f>(SUM(H74:AP74))*G74</f>
        <v>0</v>
      </c>
      <c r="AS74" s="440">
        <f>IF('Study Information &amp; rates'!$B$44="Yes",AR74*0.287,0)</f>
        <v>0</v>
      </c>
      <c r="AT74" s="440">
        <f>IF('Study Information &amp; rates'!$B$44="No",0,AR74*0.05)</f>
        <v>0</v>
      </c>
      <c r="AU74" s="440">
        <f>AR74+AS74+AT74</f>
        <v>0</v>
      </c>
      <c r="AV74" s="440">
        <f>'Set-up and other costs'!$B$18*AU74</f>
        <v>0</v>
      </c>
      <c r="BG74" s="6" t="b">
        <f>IF($B74='Look Up'!$A$5,$H74)</f>
        <v>0</v>
      </c>
      <c r="BH74" s="6" t="b">
        <f>IF($B74='Look Up'!$A$6,$H74)</f>
        <v>0</v>
      </c>
      <c r="BI74" s="6" t="b">
        <f>IF($B74='Look Up'!$A$7,$H74)</f>
        <v>0</v>
      </c>
      <c r="BJ74" s="6" t="b">
        <f>IF($B74='Look Up'!$A$7,$H74)</f>
        <v>0</v>
      </c>
      <c r="BO74" s="6" t="str">
        <f>C74&amp;B74</f>
        <v/>
      </c>
    </row>
    <row r="75" spans="1:67">
      <c r="A75" s="8"/>
      <c r="B75" s="8"/>
      <c r="C75" s="444"/>
      <c r="D75" s="442"/>
      <c r="E75" s="442"/>
      <c r="F75" s="462"/>
      <c r="G75" s="463">
        <f>IF(ISERROR(VLOOKUP(A75,'Data Sheet Costs'!$A:$C,3,FALSE)),0,VLOOKUP(A75,'Data Sheet Costs'!$A:$C,3,FALSE))</f>
        <v>0</v>
      </c>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427"/>
      <c r="AR75" s="440">
        <f>(SUM(H75:AP75))*G75</f>
        <v>0</v>
      </c>
      <c r="AS75" s="440">
        <f>IF('Study Information &amp; rates'!$B$44="Yes",AR75*0.287,0)</f>
        <v>0</v>
      </c>
      <c r="AT75" s="440">
        <f>IF('Study Information &amp; rates'!$B$44="No",0,AR75*0.05)</f>
        <v>0</v>
      </c>
      <c r="AU75" s="440">
        <f>AR75+AS75+AT75</f>
        <v>0</v>
      </c>
      <c r="AV75" s="440">
        <f>'Set-up and other costs'!$B$18*AU75</f>
        <v>0</v>
      </c>
      <c r="BG75" s="6" t="b">
        <f>IF($B75='Look Up'!$A$5,$H75)</f>
        <v>0</v>
      </c>
      <c r="BH75" s="6" t="b">
        <f>IF($B75='Look Up'!$A$6,$H75)</f>
        <v>0</v>
      </c>
      <c r="BI75" s="6" t="b">
        <f>IF($B75='Look Up'!$A$7,$H75)</f>
        <v>0</v>
      </c>
      <c r="BJ75" s="6" t="b">
        <f>IF($B75='Look Up'!$A$7,$H75)</f>
        <v>0</v>
      </c>
      <c r="BO75" s="6" t="str">
        <f>C75&amp;B75</f>
        <v/>
      </c>
    </row>
    <row r="76" spans="1:67">
      <c r="A76" s="8"/>
      <c r="B76" s="8"/>
      <c r="C76" s="444"/>
      <c r="D76" s="442"/>
      <c r="E76" s="442"/>
      <c r="F76" s="462"/>
      <c r="G76" s="463">
        <f>IF(ISERROR(VLOOKUP(A76,'Data Sheet Costs'!$A:$C,3,FALSE)),0,VLOOKUP(A76,'Data Sheet Costs'!$A:$C,3,FALSE))</f>
        <v>0</v>
      </c>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427"/>
      <c r="AR76" s="440">
        <f>(SUM(H76:AP76))*G76</f>
        <v>0</v>
      </c>
      <c r="AS76" s="440">
        <f>IF('Study Information &amp; rates'!$B$44="Yes",AR76*0.287,0)</f>
        <v>0</v>
      </c>
      <c r="AT76" s="440">
        <f>IF('Study Information &amp; rates'!$B$44="No",0,AR76*0.05)</f>
        <v>0</v>
      </c>
      <c r="AU76" s="440">
        <f>AR76+AS76+AT76</f>
        <v>0</v>
      </c>
      <c r="AV76" s="440">
        <f>'Set-up and other costs'!$B$18*AU76</f>
        <v>0</v>
      </c>
      <c r="BG76" s="6" t="b">
        <f>IF($B76='Look Up'!$A$5,$H76)</f>
        <v>0</v>
      </c>
      <c r="BH76" s="6" t="b">
        <f>IF($B76='Look Up'!$A$6,$H76)</f>
        <v>0</v>
      </c>
      <c r="BI76" s="6" t="b">
        <f>IF($B76='Look Up'!$A$7,$H76)</f>
        <v>0</v>
      </c>
      <c r="BJ76" s="6" t="b">
        <f>IF($B76='Look Up'!$A$7,$H76)</f>
        <v>0</v>
      </c>
      <c r="BO76" s="6" t="str">
        <f>C76&amp;B76</f>
        <v/>
      </c>
    </row>
    <row r="77" spans="1:67" ht="15.75" customHeight="1">
      <c r="A77" s="8"/>
      <c r="B77" s="8"/>
      <c r="C77" s="444"/>
      <c r="D77" s="442"/>
      <c r="E77" s="442"/>
      <c r="F77" s="462"/>
      <c r="G77" s="463">
        <f>IF(ISERROR(VLOOKUP(A77,'Data Sheet Costs'!$A:$C,3,FALSE)),0,VLOOKUP(A77,'Data Sheet Costs'!$A:$C,3,FALSE))</f>
        <v>0</v>
      </c>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427"/>
      <c r="AR77" s="440">
        <f>(SUM(H77:AP77))*G77</f>
        <v>0</v>
      </c>
      <c r="AS77" s="440">
        <f>IF('Study Information &amp; rates'!$B$44="Yes",AR77*0.287,0)</f>
        <v>0</v>
      </c>
      <c r="AT77" s="440">
        <f>IF('Study Information &amp; rates'!$B$44="No",0,AR77*0.05)</f>
        <v>0</v>
      </c>
      <c r="AU77" s="440">
        <f>AR77+AS77+AT77</f>
        <v>0</v>
      </c>
      <c r="AV77" s="440">
        <f>'Set-up and other costs'!$B$18*AU77</f>
        <v>0</v>
      </c>
      <c r="BG77" s="6" t="b">
        <f>IF($B77='Look Up'!$A$5,$H77)</f>
        <v>0</v>
      </c>
      <c r="BH77" s="6" t="b">
        <f>IF($B77='Look Up'!$A$6,$H77)</f>
        <v>0</v>
      </c>
      <c r="BI77" s="6" t="b">
        <f>IF($B77='Look Up'!$A$7,$H77)</f>
        <v>0</v>
      </c>
      <c r="BJ77" s="6" t="b">
        <f>IF($B77='Look Up'!$A$7,$H77)</f>
        <v>0</v>
      </c>
      <c r="BO77" s="6" t="str">
        <f>C77&amp;B77</f>
        <v/>
      </c>
    </row>
    <row r="78" spans="1:67">
      <c r="A78" s="8"/>
      <c r="B78" s="8"/>
      <c r="C78" s="444"/>
      <c r="D78" s="442"/>
      <c r="E78" s="442"/>
      <c r="F78" s="462"/>
      <c r="G78" s="463">
        <f>IF(ISERROR(VLOOKUP(A78,'Data Sheet Costs'!$A:$C,3,FALSE)),0,VLOOKUP(A78,'Data Sheet Costs'!$A:$C,3,FALSE))</f>
        <v>0</v>
      </c>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427"/>
      <c r="AR78" s="440">
        <f>(SUM(H78:AP78))*G78</f>
        <v>0</v>
      </c>
      <c r="AS78" s="440">
        <f>IF('Study Information &amp; rates'!$B$44="Yes",AR78*0.287,0)</f>
        <v>0</v>
      </c>
      <c r="AT78" s="440">
        <f>IF('Study Information &amp; rates'!$B$44="No",0,AR78*0.05)</f>
        <v>0</v>
      </c>
      <c r="AU78" s="440">
        <f>AR78+AS78+AT78</f>
        <v>0</v>
      </c>
      <c r="AV78" s="440">
        <f>'Set-up and other costs'!$B$18*AU78</f>
        <v>0</v>
      </c>
      <c r="BG78" s="6" t="b">
        <f>IF($B78='Look Up'!$A$5,$H78)</f>
        <v>0</v>
      </c>
      <c r="BH78" s="6" t="b">
        <f>IF($B78='Look Up'!$A$6,$H78)</f>
        <v>0</v>
      </c>
      <c r="BI78" s="6" t="b">
        <f>IF($B78='Look Up'!$A$7,$H78)</f>
        <v>0</v>
      </c>
      <c r="BJ78" s="6" t="b">
        <f>IF($B78='Look Up'!$A$7,$H78)</f>
        <v>0</v>
      </c>
      <c r="BO78" s="6" t="str">
        <f>C78&amp;B78</f>
        <v/>
      </c>
    </row>
    <row r="79" spans="1:67">
      <c r="A79" s="8"/>
      <c r="B79" s="8"/>
      <c r="C79" s="444"/>
      <c r="D79" s="442"/>
      <c r="E79" s="442"/>
      <c r="F79" s="462"/>
      <c r="G79" s="463">
        <f>IF(ISERROR(VLOOKUP(A79,'Data Sheet Costs'!$A:$C,3,FALSE)),0,VLOOKUP(A79,'Data Sheet Costs'!$A:$C,3,FALSE))</f>
        <v>0</v>
      </c>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427"/>
      <c r="AR79" s="440">
        <f>(SUM(H79:AP79))*G79</f>
        <v>0</v>
      </c>
      <c r="AS79" s="440">
        <f>IF('Study Information &amp; rates'!$B$44="Yes",AR79*0.287,0)</f>
        <v>0</v>
      </c>
      <c r="AT79" s="440">
        <f>IF('Study Information &amp; rates'!$B$44="No",0,AR79*0.05)</f>
        <v>0</v>
      </c>
      <c r="AU79" s="440">
        <f>AR79+AS79+AT79</f>
        <v>0</v>
      </c>
      <c r="AV79" s="440">
        <f>'Set-up and other costs'!$B$18*AU79</f>
        <v>0</v>
      </c>
      <c r="BG79" s="6" t="b">
        <f>IF($B79='Look Up'!$A$5,$H79)</f>
        <v>0</v>
      </c>
      <c r="BH79" s="6" t="b">
        <f>IF($B79='Look Up'!$A$6,$H79)</f>
        <v>0</v>
      </c>
      <c r="BI79" s="6" t="b">
        <f>IF($B79='Look Up'!$A$7,$H79)</f>
        <v>0</v>
      </c>
      <c r="BJ79" s="6" t="b">
        <f>IF($B79='Look Up'!$A$7,$H79)</f>
        <v>0</v>
      </c>
      <c r="BO79" s="6" t="str">
        <f>C79&amp;B79</f>
        <v/>
      </c>
    </row>
    <row r="80" spans="1:67" ht="15.75" customHeight="1">
      <c r="A80" s="8"/>
      <c r="B80" s="8"/>
      <c r="C80" s="444"/>
      <c r="D80" s="442"/>
      <c r="E80" s="442"/>
      <c r="F80" s="462"/>
      <c r="G80" s="463">
        <f>IF(ISERROR(VLOOKUP(A80,'Data Sheet Costs'!$A:$C,3,FALSE)),0,VLOOKUP(A80,'Data Sheet Costs'!$A:$C,3,FALSE))</f>
        <v>0</v>
      </c>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427"/>
      <c r="AR80" s="440">
        <f>(SUM(H80:AP80))*G80</f>
        <v>0</v>
      </c>
      <c r="AS80" s="440">
        <f>IF('Study Information &amp; rates'!$B$44="Yes",AR80*0.287,0)</f>
        <v>0</v>
      </c>
      <c r="AT80" s="440">
        <f>IF('Study Information &amp; rates'!$B$44="No",0,AR80*0.05)</f>
        <v>0</v>
      </c>
      <c r="AU80" s="440">
        <f>AR80+AS80+AT80</f>
        <v>0</v>
      </c>
      <c r="AV80" s="440">
        <f>'Set-up and other costs'!$B$18*AU80</f>
        <v>0</v>
      </c>
      <c r="BG80" s="6" t="b">
        <f>IF($B80='Look Up'!$A$5,$H80)</f>
        <v>0</v>
      </c>
      <c r="BH80" s="6" t="b">
        <f>IF($B80='Look Up'!$A$6,$H80)</f>
        <v>0</v>
      </c>
      <c r="BI80" s="6" t="b">
        <f>IF($B80='Look Up'!$A$7,$H80)</f>
        <v>0</v>
      </c>
      <c r="BJ80" s="6" t="b">
        <f>IF($B80='Look Up'!$A$7,$H80)</f>
        <v>0</v>
      </c>
      <c r="BO80" s="6" t="str">
        <f>C80&amp;B80</f>
        <v/>
      </c>
    </row>
    <row r="81" spans="1:67" ht="15" customHeight="1">
      <c r="A81" s="8"/>
      <c r="B81" s="8"/>
      <c r="C81" s="444"/>
      <c r="D81" s="460"/>
      <c r="E81" s="460"/>
      <c r="F81" s="461"/>
      <c r="G81" s="463">
        <f>IF(ISERROR(VLOOKUP(A81,'Data Sheet Costs'!$A:$C,3,FALSE)),0,VLOOKUP(A81,'Data Sheet Costs'!$A:$C,3,FALSE))</f>
        <v>0</v>
      </c>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c r="AP81" s="302"/>
      <c r="AQ81" s="427"/>
      <c r="AR81" s="440">
        <f>(SUM(H81:AP81))*G81</f>
        <v>0</v>
      </c>
      <c r="AS81" s="440">
        <f>IF('Study Information &amp; rates'!$B$44="Yes",AR81*0.287,0)</f>
        <v>0</v>
      </c>
      <c r="AT81" s="440">
        <f>IF('Study Information &amp; rates'!$B$44="No",0,AR81*0.05)</f>
        <v>0</v>
      </c>
      <c r="AU81" s="440">
        <f>AR81+AS81+AT81</f>
        <v>0</v>
      </c>
      <c r="AV81" s="440">
        <f>'Set-up and other costs'!$B$18*AU81</f>
        <v>0</v>
      </c>
      <c r="BG81" s="6" t="b">
        <f>IF($B81='Look Up'!$A$5,$H81)</f>
        <v>0</v>
      </c>
      <c r="BH81" s="6" t="b">
        <f>IF($B81='Look Up'!$A$6,$H81)</f>
        <v>0</v>
      </c>
      <c r="BI81" s="6" t="b">
        <f>IF($B81='Look Up'!$A$7,$H81)</f>
        <v>0</v>
      </c>
      <c r="BJ81" s="6" t="b">
        <f>IF($B81='Look Up'!$A$7,$H81)</f>
        <v>0</v>
      </c>
      <c r="BO81" s="6" t="str">
        <f>C81&amp;B81</f>
        <v/>
      </c>
    </row>
    <row r="82" spans="1:48">
      <c r="A82" s="183"/>
      <c r="B82" s="183"/>
      <c r="C82" s="183"/>
      <c r="D82" s="183"/>
      <c r="E82" s="183"/>
      <c r="F82" s="183"/>
      <c r="G82" s="183"/>
      <c r="H82" s="469">
        <f>SUM(H56:H81)</f>
        <v>0</v>
      </c>
      <c r="I82" s="469">
        <f>SUM(I56:I81)</f>
        <v>0</v>
      </c>
      <c r="J82" s="469">
        <f>SUM(J56:J81)</f>
        <v>0</v>
      </c>
      <c r="K82" s="469">
        <f>SUM(K56:K81)</f>
        <v>0</v>
      </c>
      <c r="L82" s="469">
        <f>SUM(L56:L81)</f>
        <v>0</v>
      </c>
      <c r="M82" s="469">
        <f>SUM(M56:M81)</f>
        <v>0</v>
      </c>
      <c r="N82" s="469">
        <f>SUM(N56:N81)</f>
        <v>0</v>
      </c>
      <c r="O82" s="469">
        <f>SUM(O56:O81)</f>
        <v>0</v>
      </c>
      <c r="P82" s="469">
        <f>SUM(P56:P81)</f>
        <v>0</v>
      </c>
      <c r="Q82" s="469">
        <f>SUM(Q56:Q81)</f>
        <v>0</v>
      </c>
      <c r="R82" s="469">
        <f>SUM(R56:R81)</f>
        <v>0</v>
      </c>
      <c r="S82" s="469">
        <f>SUM(S56:S81)</f>
        <v>0</v>
      </c>
      <c r="T82" s="469">
        <f>SUM(T56:T81)</f>
        <v>0</v>
      </c>
      <c r="U82" s="469">
        <f>SUM(U56:U81)</f>
        <v>0</v>
      </c>
      <c r="V82" s="469">
        <f>SUM(V56:V81)</f>
        <v>0</v>
      </c>
      <c r="W82" s="469">
        <f>SUM(W56:W81)</f>
        <v>0</v>
      </c>
      <c r="X82" s="469">
        <f>SUM(X56:X81)</f>
        <v>0</v>
      </c>
      <c r="Y82" s="469">
        <f>SUM(Y56:Y81)</f>
        <v>0</v>
      </c>
      <c r="Z82" s="469">
        <f>SUM(Z56:Z81)</f>
        <v>0</v>
      </c>
      <c r="AA82" s="469">
        <f>SUM(AA56:AA81)</f>
        <v>0</v>
      </c>
      <c r="AB82" s="469">
        <f>SUM(AB56:AB81)</f>
        <v>0</v>
      </c>
      <c r="AC82" s="469">
        <f>SUM(AC56:AC81)</f>
        <v>0</v>
      </c>
      <c r="AD82" s="469">
        <f>SUM(AD56:AD81)</f>
        <v>0</v>
      </c>
      <c r="AE82" s="469">
        <f>SUM(AE56:AE81)</f>
        <v>0</v>
      </c>
      <c r="AF82" s="469">
        <f>SUM(AF56:AF81)</f>
        <v>0</v>
      </c>
      <c r="AG82" s="469">
        <f>SUM(AG56:AG81)</f>
        <v>0</v>
      </c>
      <c r="AH82" s="469">
        <f>SUM(AH56:AH81)</f>
        <v>0</v>
      </c>
      <c r="AI82" s="469">
        <f>SUM(AI56:AI81)</f>
        <v>0</v>
      </c>
      <c r="AJ82" s="469">
        <f>SUM(AJ56:AJ81)</f>
        <v>0</v>
      </c>
      <c r="AK82" s="469">
        <f>SUM(AK56:AK81)</f>
        <v>0</v>
      </c>
      <c r="AL82" s="469">
        <f>SUM(AL56:AL81)</f>
        <v>0</v>
      </c>
      <c r="AM82" s="469">
        <f>SUM(AM56:AM81)</f>
        <v>0</v>
      </c>
      <c r="AN82" s="469">
        <f>SUM(AN56:AN81)</f>
        <v>0</v>
      </c>
      <c r="AO82" s="469">
        <f>SUM(AO56:AO81)</f>
        <v>0</v>
      </c>
      <c r="AP82" s="469">
        <f>SUM(AP56:AP81)</f>
        <v>0</v>
      </c>
      <c r="AQ82" s="474"/>
      <c r="AR82" s="440">
        <f>SUM(AR56:AR81)</f>
        <v>0</v>
      </c>
      <c r="AS82" s="440">
        <f>SUM(AS56:AS81)</f>
        <v>0</v>
      </c>
      <c r="AT82" s="440">
        <f>SUM(AT56:AT81)</f>
        <v>0</v>
      </c>
      <c r="AU82" s="440">
        <f>SUM(AU56:AU81)</f>
        <v>0</v>
      </c>
      <c r="AV82" s="440">
        <f>'Set-up and other costs'!$B$18*AU82</f>
        <v>0</v>
      </c>
    </row>
    <row r="83" spans="44:48">
      <c r="AR83" s="510"/>
      <c r="AS83" s="510"/>
      <c r="AT83" s="510"/>
      <c r="AU83" s="510"/>
      <c r="AV83" s="510"/>
    </row>
    <row r="84" spans="44:48" ht="13.5" thickBot="1">
      <c r="AR84" s="510" t="s">
        <v>50</v>
      </c>
      <c r="AS84" s="510"/>
      <c r="AT84" s="510"/>
      <c r="AU84" s="510"/>
      <c r="AV84" s="510"/>
    </row>
    <row r="85" spans="1:59" ht="13.5" thickBot="1">
      <c r="A85" s="39" t="s">
        <v>1972</v>
      </c>
      <c r="B85" s="41"/>
      <c r="C85" s="41"/>
      <c r="D85" s="41"/>
      <c r="E85" s="41"/>
      <c r="F85" s="41"/>
      <c r="G85" s="42"/>
      <c r="H85" s="515">
        <f>(H48*'Study Information &amp; rates'!$B$101)</f>
        <v>0</v>
      </c>
      <c r="I85" s="516">
        <f>(I48*'Study Information &amp; rates'!$B$101)</f>
        <v>0</v>
      </c>
      <c r="J85" s="516">
        <f>(J48*'Study Information &amp; rates'!$B$101)</f>
        <v>0</v>
      </c>
      <c r="K85" s="516">
        <f>(K48*'Study Information &amp; rates'!$B$101)</f>
        <v>0</v>
      </c>
      <c r="L85" s="516">
        <f>(L48*'Study Information &amp; rates'!$B$101)</f>
        <v>0</v>
      </c>
      <c r="M85" s="516">
        <f>(M48*'Study Information &amp; rates'!$B$101)</f>
        <v>0</v>
      </c>
      <c r="N85" s="516">
        <f>(N48*'Study Information &amp; rates'!$B$101)</f>
        <v>0</v>
      </c>
      <c r="O85" s="516">
        <f>(O48*'Study Information &amp; rates'!$B$101)</f>
        <v>0</v>
      </c>
      <c r="P85" s="516">
        <f>(P48*'Study Information &amp; rates'!$B$101)</f>
        <v>0</v>
      </c>
      <c r="Q85" s="516">
        <f>(Q48*'Study Information &amp; rates'!$B$101)</f>
        <v>0</v>
      </c>
      <c r="R85" s="516">
        <f>(R48*'Study Information &amp; rates'!$B$101)</f>
        <v>0</v>
      </c>
      <c r="S85" s="516">
        <f>(S48*'Study Information &amp; rates'!$B$101)</f>
        <v>0</v>
      </c>
      <c r="T85" s="516">
        <f>(T48*'Study Information &amp; rates'!$B$101)</f>
        <v>0</v>
      </c>
      <c r="U85" s="516">
        <f>(U48*'Study Information &amp; rates'!$B$101)</f>
        <v>0</v>
      </c>
      <c r="V85" s="516">
        <f>(V48*'Study Information &amp; rates'!$B$101)</f>
        <v>0</v>
      </c>
      <c r="W85" s="516">
        <f>(W48*'Study Information &amp; rates'!$B$101)</f>
        <v>0</v>
      </c>
      <c r="X85" s="516">
        <f>(X48*'Study Information &amp; rates'!$B$101)</f>
        <v>0</v>
      </c>
      <c r="Y85" s="516">
        <f>(Y48*'Study Information &amp; rates'!$B$101)</f>
        <v>0</v>
      </c>
      <c r="Z85" s="516">
        <f>(Z48*'Study Information &amp; rates'!$B$101)</f>
        <v>0</v>
      </c>
      <c r="AA85" s="516">
        <f>(AA48*'Study Information &amp; rates'!$B$101)</f>
        <v>0</v>
      </c>
      <c r="AB85" s="516">
        <f>(AB48*'Study Information &amp; rates'!$B$101)</f>
        <v>0</v>
      </c>
      <c r="AC85" s="516">
        <f>(AC48*'Study Information &amp; rates'!$B$101)</f>
        <v>0</v>
      </c>
      <c r="AD85" s="516">
        <f>(AD48*'Study Information &amp; rates'!$B$101)</f>
        <v>0</v>
      </c>
      <c r="AE85" s="516">
        <f>(AE48*'Study Information &amp; rates'!$B$101)</f>
        <v>0</v>
      </c>
      <c r="AF85" s="516">
        <f>(AF48*'Study Information &amp; rates'!$B$101)</f>
        <v>0</v>
      </c>
      <c r="AG85" s="516">
        <f>(AG48*'Study Information &amp; rates'!$B$101)</f>
        <v>0</v>
      </c>
      <c r="AH85" s="516">
        <f>(AH48*'Study Information &amp; rates'!$B$101)</f>
        <v>0</v>
      </c>
      <c r="AI85" s="516">
        <f>(AI48*'Study Information &amp; rates'!$B$101)</f>
        <v>0</v>
      </c>
      <c r="AJ85" s="516">
        <f>(AJ48*'Study Information &amp; rates'!$B$101)</f>
        <v>0</v>
      </c>
      <c r="AK85" s="516">
        <f>(AK48*'Study Information &amp; rates'!$B$101)</f>
        <v>0</v>
      </c>
      <c r="AL85" s="516">
        <f>(AL48*'Study Information &amp; rates'!$B$101)</f>
        <v>0</v>
      </c>
      <c r="AM85" s="516">
        <f>(AM48*'Study Information &amp; rates'!$B$101)</f>
        <v>0</v>
      </c>
      <c r="AN85" s="516">
        <f>(AN48*'Study Information &amp; rates'!$B$101)</f>
        <v>0</v>
      </c>
      <c r="AO85" s="516">
        <f>(AO48*'Study Information &amp; rates'!$B$101)</f>
        <v>0</v>
      </c>
      <c r="AP85" s="516">
        <f>(AP48*'Study Information &amp; rates'!$B$101)</f>
        <v>0</v>
      </c>
      <c r="AQ85" s="473">
        <f>SUM(G85:AO85)</f>
        <v>0</v>
      </c>
      <c r="AR85" s="440">
        <f>'Set-up and other costs'!$B$18*AQ85</f>
        <v>0</v>
      </c>
      <c r="AS85" s="510"/>
      <c r="AT85" s="510"/>
      <c r="AU85" s="510"/>
      <c r="AV85" s="510"/>
      <c r="BB85" s="4">
        <f>SUMIF($BH:$BH,1,$C:$C)+SUMIF($BJ:$BJ,1,$C:$C)</f>
        <v>0</v>
      </c>
      <c r="BC85" s="275">
        <f>BB85*'Study Information &amp; rates'!$B$101</f>
        <v>0</v>
      </c>
      <c r="BD85" s="2">
        <f>IF('Study Information &amp; rates'!$B$44='Study Information &amp; rates'!$V$12,BC85*0.287,0)</f>
        <v>0</v>
      </c>
      <c r="BE85" s="2">
        <f>IF(($AR$52*'Study Information &amp; rates'!$B$27)&gt;5000,BC85*0.05,0)</f>
        <v>0</v>
      </c>
      <c r="BF85" s="2">
        <f>BC85+BD85+BE85</f>
        <v>0</v>
      </c>
      <c r="BG85" s="13" t="b">
        <f>BF85=BF48</f>
        <v>1</v>
      </c>
    </row>
    <row r="86" spans="1:59" ht="13.5" thickBot="1">
      <c r="A86" s="39" t="s">
        <v>1973</v>
      </c>
      <c r="B86" s="20"/>
      <c r="C86" s="20"/>
      <c r="D86" s="20"/>
      <c r="E86" s="20"/>
      <c r="F86" s="20"/>
      <c r="G86" s="43"/>
      <c r="H86" s="515">
        <f>(H49*'Study Information &amp; rates'!$C$101)</f>
        <v>0</v>
      </c>
      <c r="I86" s="515">
        <f>(I49*'Study Information &amp; rates'!$C$101)</f>
        <v>0</v>
      </c>
      <c r="J86" s="515">
        <f>(J49*'Study Information &amp; rates'!$C$101)</f>
        <v>0</v>
      </c>
      <c r="K86" s="515">
        <f>(K49*'Study Information &amp; rates'!$C$101)</f>
        <v>0</v>
      </c>
      <c r="L86" s="515">
        <f>(L49*'Study Information &amp; rates'!$C$101)</f>
        <v>0</v>
      </c>
      <c r="M86" s="515">
        <f>(M49*'Study Information &amp; rates'!$C$101)</f>
        <v>0</v>
      </c>
      <c r="N86" s="515">
        <f>(N49*'Study Information &amp; rates'!$C$101)</f>
        <v>0</v>
      </c>
      <c r="O86" s="515">
        <f>(O49*'Study Information &amp; rates'!$C$101)</f>
        <v>0</v>
      </c>
      <c r="P86" s="515">
        <f>(P49*'Study Information &amp; rates'!$C$101)</f>
        <v>0</v>
      </c>
      <c r="Q86" s="515">
        <f>(Q49*'Study Information &amp; rates'!$C$101)</f>
        <v>0</v>
      </c>
      <c r="R86" s="515">
        <f>(R49*'Study Information &amp; rates'!$C$101)</f>
        <v>0</v>
      </c>
      <c r="S86" s="515">
        <f>(S49*'Study Information &amp; rates'!$C$101)</f>
        <v>0</v>
      </c>
      <c r="T86" s="515">
        <f>(T49*'Study Information &amp; rates'!$C$101)</f>
        <v>0</v>
      </c>
      <c r="U86" s="515">
        <f>(U49*'Study Information &amp; rates'!$C$101)</f>
        <v>0</v>
      </c>
      <c r="V86" s="515">
        <f>(V49*'Study Information &amp; rates'!$C$101)</f>
        <v>0</v>
      </c>
      <c r="W86" s="515">
        <f>(W49*'Study Information &amp; rates'!$C$101)</f>
        <v>0</v>
      </c>
      <c r="X86" s="515">
        <f>(X49*'Study Information &amp; rates'!$C$101)</f>
        <v>0</v>
      </c>
      <c r="Y86" s="515">
        <f>(Y49*'Study Information &amp; rates'!$C$101)</f>
        <v>0</v>
      </c>
      <c r="Z86" s="515">
        <f>(Z49*'Study Information &amp; rates'!$C$101)</f>
        <v>0</v>
      </c>
      <c r="AA86" s="515">
        <f>(AA49*'Study Information &amp; rates'!$C$101)</f>
        <v>0</v>
      </c>
      <c r="AB86" s="515">
        <f>(AB49*'Study Information &amp; rates'!$C$101)</f>
        <v>0</v>
      </c>
      <c r="AC86" s="515">
        <f>(AC49*'Study Information &amp; rates'!$C$101)</f>
        <v>0</v>
      </c>
      <c r="AD86" s="515">
        <f>(AD49*'Study Information &amp; rates'!$C$101)</f>
        <v>0</v>
      </c>
      <c r="AE86" s="515">
        <f>(AE49*'Study Information &amp; rates'!$C$101)</f>
        <v>0</v>
      </c>
      <c r="AF86" s="515">
        <f>(AF49*'Study Information &amp; rates'!$C$101)</f>
        <v>0</v>
      </c>
      <c r="AG86" s="515">
        <f>(AG49*'Study Information &amp; rates'!$C$101)</f>
        <v>0</v>
      </c>
      <c r="AH86" s="515">
        <f>(AH49*'Study Information &amp; rates'!$C$101)</f>
        <v>0</v>
      </c>
      <c r="AI86" s="515">
        <f>(AI49*'Study Information &amp; rates'!$C$101)</f>
        <v>0</v>
      </c>
      <c r="AJ86" s="515">
        <f>(AJ49*'Study Information &amp; rates'!$C$101)</f>
        <v>0</v>
      </c>
      <c r="AK86" s="515">
        <f>(AK49*'Study Information &amp; rates'!$C$101)</f>
        <v>0</v>
      </c>
      <c r="AL86" s="515">
        <f>(AL49*'Study Information &amp; rates'!$C$101)</f>
        <v>0</v>
      </c>
      <c r="AM86" s="515">
        <f>(AM49*'Study Information &amp; rates'!$C$101)</f>
        <v>0</v>
      </c>
      <c r="AN86" s="515">
        <f>(AN49*'Study Information &amp; rates'!$C$101)</f>
        <v>0</v>
      </c>
      <c r="AO86" s="515">
        <f>(AO49*'Study Information &amp; rates'!$C$101)</f>
        <v>0</v>
      </c>
      <c r="AP86" s="515">
        <f>(AP49*'Study Information &amp; rates'!$C$101)</f>
        <v>0</v>
      </c>
      <c r="AQ86" s="473">
        <f>SUM(H86:AP86)</f>
        <v>0</v>
      </c>
      <c r="AR86" s="440">
        <f>'Set-up and other costs'!$B$18*AQ86</f>
        <v>0</v>
      </c>
      <c r="AS86" s="510"/>
      <c r="AT86" s="510"/>
      <c r="AU86" s="510"/>
      <c r="AV86" s="510"/>
      <c r="BB86" s="4">
        <f>SUMIF($BH:$BH,1,$D:$D)+SUMIF($BJ:$BJ,1,$D:$D)</f>
        <v>0</v>
      </c>
      <c r="BC86" s="275">
        <f>BB86*'Study Information &amp; rates'!$C$101</f>
        <v>0</v>
      </c>
      <c r="BD86" s="2">
        <f>IF('Study Information &amp; rates'!$B$44='Study Information &amp; rates'!$V$12,BC86*0.287,0)</f>
        <v>0</v>
      </c>
      <c r="BE86" s="2">
        <f>IF(($AR$52*'Study Information &amp; rates'!$B$27)&gt;5000,BC86*0.05,0)</f>
        <v>0</v>
      </c>
      <c r="BF86" s="2">
        <f>BC86+BD86+BE86</f>
        <v>0</v>
      </c>
      <c r="BG86" s="13" t="b">
        <f>BF86=BF49</f>
        <v>1</v>
      </c>
    </row>
    <row r="87" spans="1:59" ht="13.5" thickBot="1">
      <c r="A87" s="40" t="s">
        <v>47</v>
      </c>
      <c r="B87" s="20"/>
      <c r="C87" s="20"/>
      <c r="D87" s="20"/>
      <c r="E87" s="20"/>
      <c r="F87" s="20"/>
      <c r="G87" s="43"/>
      <c r="H87" s="521">
        <f>(H50*'Study Information &amp; rates'!$D$101)</f>
        <v>0</v>
      </c>
      <c r="I87" s="522">
        <f>(I50*'Study Information &amp; rates'!$D$101)</f>
        <v>0</v>
      </c>
      <c r="J87" s="522">
        <f>(J50*'Study Information &amp; rates'!$D$101)</f>
        <v>0</v>
      </c>
      <c r="K87" s="522">
        <f>(K50*'Study Information &amp; rates'!$D$101)</f>
        <v>0</v>
      </c>
      <c r="L87" s="522">
        <f>(L50*'Study Information &amp; rates'!$D$101)</f>
        <v>0</v>
      </c>
      <c r="M87" s="522">
        <f>(M50*'Study Information &amp; rates'!$D$101)</f>
        <v>0</v>
      </c>
      <c r="N87" s="522">
        <f>(N50*'Study Information &amp; rates'!$D$101)</f>
        <v>0</v>
      </c>
      <c r="O87" s="522">
        <f>(O50*'Study Information &amp; rates'!$D$101)</f>
        <v>0</v>
      </c>
      <c r="P87" s="522">
        <f>(P50*'Study Information &amp; rates'!$D$101)</f>
        <v>0</v>
      </c>
      <c r="Q87" s="522">
        <f>(Q50*'Study Information &amp; rates'!$D$101)</f>
        <v>0</v>
      </c>
      <c r="R87" s="522">
        <f>(R50*'Study Information &amp; rates'!$D$101)</f>
        <v>0</v>
      </c>
      <c r="S87" s="522">
        <f>(S50*'Study Information &amp; rates'!$D$101)</f>
        <v>0</v>
      </c>
      <c r="T87" s="522">
        <f>(T50*'Study Information &amp; rates'!$D$101)</f>
        <v>0</v>
      </c>
      <c r="U87" s="522">
        <f>(U50*'Study Information &amp; rates'!$D$101)</f>
        <v>0</v>
      </c>
      <c r="V87" s="522">
        <f>(V50*'Study Information &amp; rates'!$D$101)</f>
        <v>0</v>
      </c>
      <c r="W87" s="522">
        <f>(W50*'Study Information &amp; rates'!$D$101)</f>
        <v>0</v>
      </c>
      <c r="X87" s="522">
        <f>(X50*'Study Information &amp; rates'!$D$101)</f>
        <v>0</v>
      </c>
      <c r="Y87" s="522">
        <f>(Y50*'Study Information &amp; rates'!$D$101)</f>
        <v>0</v>
      </c>
      <c r="Z87" s="522">
        <f>(Z50*'Study Information &amp; rates'!$D$101)</f>
        <v>0</v>
      </c>
      <c r="AA87" s="522">
        <f>(AA50*'Study Information &amp; rates'!$D$101)</f>
        <v>0</v>
      </c>
      <c r="AB87" s="522">
        <f>(AB50*'Study Information &amp; rates'!$D$101)</f>
        <v>0</v>
      </c>
      <c r="AC87" s="522">
        <f>(AC50*'Study Information &amp; rates'!$D$101)</f>
        <v>0</v>
      </c>
      <c r="AD87" s="522">
        <f>(AD50*'Study Information &amp; rates'!$D$101)</f>
        <v>0</v>
      </c>
      <c r="AE87" s="522">
        <f>(AE50*'Study Information &amp; rates'!$D$101)</f>
        <v>0</v>
      </c>
      <c r="AF87" s="522">
        <f>(AF50*'Study Information &amp; rates'!$D$101)</f>
        <v>0</v>
      </c>
      <c r="AG87" s="522">
        <f>(AG50*'Study Information &amp; rates'!$D$101)</f>
        <v>0</v>
      </c>
      <c r="AH87" s="522">
        <f>(AH50*'Study Information &amp; rates'!$D$101)</f>
        <v>0</v>
      </c>
      <c r="AI87" s="522">
        <f>(AI50*'Study Information &amp; rates'!$D$101)</f>
        <v>0</v>
      </c>
      <c r="AJ87" s="522">
        <f>(AJ50*'Study Information &amp; rates'!$D$101)</f>
        <v>0</v>
      </c>
      <c r="AK87" s="522">
        <f>(AK50*'Study Information &amp; rates'!$D$101)</f>
        <v>0</v>
      </c>
      <c r="AL87" s="522">
        <f>(AL50*'Study Information &amp; rates'!$D$101)</f>
        <v>0</v>
      </c>
      <c r="AM87" s="522">
        <f>(AM50*'Study Information &amp; rates'!$D$101)</f>
        <v>0</v>
      </c>
      <c r="AN87" s="522">
        <f>(AN50*'Study Information &amp; rates'!$D$101)</f>
        <v>0</v>
      </c>
      <c r="AO87" s="522">
        <f>(AO50*'Study Information &amp; rates'!$D$101)</f>
        <v>0</v>
      </c>
      <c r="AP87" s="522">
        <f>(AP50*'Study Information &amp; rates'!$D$101)</f>
        <v>0</v>
      </c>
      <c r="AQ87" s="473">
        <f>SUM(H87:AP87)</f>
        <v>0</v>
      </c>
      <c r="AR87" s="440">
        <f>'Set-up and other costs'!$B$18*AQ87</f>
        <v>0</v>
      </c>
      <c r="AS87" s="510"/>
      <c r="AT87" s="510"/>
      <c r="AU87" s="510"/>
      <c r="AV87" s="510"/>
      <c r="BB87" s="4">
        <f>SUMIF($BH:$BH,1,$E:$E)+SUMIF($BJ:$BJ,1,$E:$E)</f>
        <v>0</v>
      </c>
      <c r="BC87" s="275">
        <f>BB87*'Study Information &amp; rates'!$D$101</f>
        <v>0</v>
      </c>
      <c r="BD87" s="2">
        <f>IF('Study Information &amp; rates'!$B$44='Study Information &amp; rates'!$V$12,BC87*0.287,0)</f>
        <v>0</v>
      </c>
      <c r="BE87" s="2">
        <f>IF(($AR$52*'Study Information &amp; rates'!$B$27)&gt;5000,BC87*0.05,0)</f>
        <v>0</v>
      </c>
      <c r="BF87" s="2">
        <f>BC87+BD87+BE87</f>
        <v>0</v>
      </c>
      <c r="BG87" s="13" t="b">
        <f>BF87=BF50</f>
        <v>1</v>
      </c>
    </row>
    <row r="88" spans="1:59" ht="13.5" thickBot="1">
      <c r="A88" s="44" t="s">
        <v>48</v>
      </c>
      <c r="B88" s="20"/>
      <c r="C88" s="20"/>
      <c r="D88" s="20"/>
      <c r="E88" s="20"/>
      <c r="F88" s="20"/>
      <c r="G88" s="43"/>
      <c r="H88" s="524">
        <f>(H51*'Study Information &amp; rates'!$F$101)</f>
        <v>0</v>
      </c>
      <c r="I88" s="525">
        <f>(I51*'Study Information &amp; rates'!$F$101)</f>
        <v>0</v>
      </c>
      <c r="J88" s="525">
        <f>(J51*'Study Information &amp; rates'!$F$101)</f>
        <v>0</v>
      </c>
      <c r="K88" s="525">
        <f>(K51*'Study Information &amp; rates'!$F$101)</f>
        <v>0</v>
      </c>
      <c r="L88" s="525">
        <f>(L51*'Study Information &amp; rates'!$F$101)</f>
        <v>0</v>
      </c>
      <c r="M88" s="525">
        <f>(M51*'Study Information &amp; rates'!$F$101)</f>
        <v>0</v>
      </c>
      <c r="N88" s="525">
        <f>(N51*'Study Information &amp; rates'!$F$101)</f>
        <v>0</v>
      </c>
      <c r="O88" s="525">
        <f>(O51*'Study Information &amp; rates'!$F$101)</f>
        <v>0</v>
      </c>
      <c r="P88" s="525">
        <f>(P51*'Study Information &amp; rates'!$F$101)</f>
        <v>0</v>
      </c>
      <c r="Q88" s="525">
        <f>(Q51*'Study Information &amp; rates'!$F$101)</f>
        <v>0</v>
      </c>
      <c r="R88" s="525">
        <f>(R51*'Study Information &amp; rates'!$F$101)</f>
        <v>0</v>
      </c>
      <c r="S88" s="525">
        <f>(S51*'Study Information &amp; rates'!$F$101)</f>
        <v>0</v>
      </c>
      <c r="T88" s="525">
        <f>(T51*'Study Information &amp; rates'!$F$101)</f>
        <v>0</v>
      </c>
      <c r="U88" s="525">
        <f>(U51*'Study Information &amp; rates'!$F$101)</f>
        <v>0</v>
      </c>
      <c r="V88" s="525">
        <f>(V51*'Study Information &amp; rates'!$F$101)</f>
        <v>0</v>
      </c>
      <c r="W88" s="525">
        <f>(W51*'Study Information &amp; rates'!$F$101)</f>
        <v>0</v>
      </c>
      <c r="X88" s="525">
        <f>(X51*'Study Information &amp; rates'!$F$101)</f>
        <v>0</v>
      </c>
      <c r="Y88" s="525">
        <f>(Y51*'Study Information &amp; rates'!$F$101)</f>
        <v>0</v>
      </c>
      <c r="Z88" s="525">
        <f>(Z51*'Study Information &amp; rates'!$F$101)</f>
        <v>0</v>
      </c>
      <c r="AA88" s="525">
        <f>(AA51*'Study Information &amp; rates'!$F$101)</f>
        <v>0</v>
      </c>
      <c r="AB88" s="525">
        <f>(AB51*'Study Information &amp; rates'!$F$101)</f>
        <v>0</v>
      </c>
      <c r="AC88" s="525">
        <f>(AC51*'Study Information &amp; rates'!$F$101)</f>
        <v>0</v>
      </c>
      <c r="AD88" s="525">
        <f>(AD51*'Study Information &amp; rates'!$F$101)</f>
        <v>0</v>
      </c>
      <c r="AE88" s="525">
        <f>(AE51*'Study Information &amp; rates'!$F$101)</f>
        <v>0</v>
      </c>
      <c r="AF88" s="525">
        <f>(AF51*'Study Information &amp; rates'!$F$101)</f>
        <v>0</v>
      </c>
      <c r="AG88" s="525">
        <f>(AG51*'Study Information &amp; rates'!$F$101)</f>
        <v>0</v>
      </c>
      <c r="AH88" s="525">
        <f>(AH51*'Study Information &amp; rates'!$F$101)</f>
        <v>0</v>
      </c>
      <c r="AI88" s="525">
        <f>(AI51*'Study Information &amp; rates'!$F$101)</f>
        <v>0</v>
      </c>
      <c r="AJ88" s="525">
        <f>(AJ51*'Study Information &amp; rates'!$F$101)</f>
        <v>0</v>
      </c>
      <c r="AK88" s="525">
        <f>(AK51*'Study Information &amp; rates'!$F$101)</f>
        <v>0</v>
      </c>
      <c r="AL88" s="525">
        <f>(AL51*'Study Information &amp; rates'!$F$101)</f>
        <v>0</v>
      </c>
      <c r="AM88" s="525">
        <f>(AM51*'Study Information &amp; rates'!$F$101)</f>
        <v>0</v>
      </c>
      <c r="AN88" s="525">
        <f>(AN51*'Study Information &amp; rates'!$F$101)</f>
        <v>0</v>
      </c>
      <c r="AO88" s="525">
        <f>(AO51*'Study Information &amp; rates'!$F$101)</f>
        <v>0</v>
      </c>
      <c r="AP88" s="525">
        <f>(AP51*'Study Information &amp; rates'!$F$101)</f>
        <v>0</v>
      </c>
      <c r="AQ88" s="473">
        <f>SUM(H88:AP88)</f>
        <v>0</v>
      </c>
      <c r="AR88" s="440">
        <f>'Set-up and other costs'!$B$18*AQ88</f>
        <v>0</v>
      </c>
      <c r="AS88" s="510"/>
      <c r="AT88" s="510"/>
      <c r="AU88" s="510"/>
      <c r="AV88" s="510"/>
      <c r="BB88" s="4">
        <f>SUMIF($BH:$BH,1,$F:$F)+SUMIF($BJ:$BJ,1,$F:$F)</f>
        <v>0</v>
      </c>
      <c r="BC88" s="275">
        <f>BB88*'Study Information &amp; rates'!$F$101</f>
        <v>0</v>
      </c>
      <c r="BD88" s="2">
        <f>IF('Study Information &amp; rates'!$B$44='Study Information &amp; rates'!$V$12,BC88*0.287,0)</f>
        <v>0</v>
      </c>
      <c r="BE88" s="2">
        <f>IF(($AR$52*'Study Information &amp; rates'!$B$27)&gt;5000,BC88*0.05,0)</f>
        <v>0</v>
      </c>
      <c r="BF88" s="2">
        <f>BC88+BD88+BE88</f>
        <v>0</v>
      </c>
      <c r="BG88" s="13" t="b">
        <f>BF88=BF51</f>
        <v>1</v>
      </c>
    </row>
    <row r="89" spans="1:58" ht="13.5" thickBot="1">
      <c r="A89" s="45" t="s">
        <v>49</v>
      </c>
      <c r="B89" s="46"/>
      <c r="C89" s="46"/>
      <c r="D89" s="46"/>
      <c r="E89" s="46"/>
      <c r="F89" s="46"/>
      <c r="G89" s="47"/>
      <c r="H89" s="529">
        <f>SUMPRODUCT($G$56:$G$81,H56:H81)</f>
        <v>0</v>
      </c>
      <c r="I89" s="530">
        <f>SUMPRODUCT($G$56:$G$81,I56:I81)</f>
        <v>0</v>
      </c>
      <c r="J89" s="530">
        <f>SUMPRODUCT($G$56:$G$81,J56:J81)</f>
        <v>0</v>
      </c>
      <c r="K89" s="530">
        <f>SUMPRODUCT($G$56:$G$81,K56:K81)</f>
        <v>0</v>
      </c>
      <c r="L89" s="530">
        <f>SUMPRODUCT($G$56:$G$81,L56:L81)</f>
        <v>0</v>
      </c>
      <c r="M89" s="530">
        <f>SUMPRODUCT($G$56:$G$81,M56:M81)</f>
        <v>0</v>
      </c>
      <c r="N89" s="530">
        <f>SUMPRODUCT($G$56:$G$81,N56:N81)</f>
        <v>0</v>
      </c>
      <c r="O89" s="530">
        <f>SUMPRODUCT($G$56:$G$81,O56:O81)</f>
        <v>0</v>
      </c>
      <c r="P89" s="530">
        <f>SUMPRODUCT($G$56:$G$81,P56:P81)</f>
        <v>0</v>
      </c>
      <c r="Q89" s="530">
        <f>SUMPRODUCT($G$56:$G$81,Q56:Q81)</f>
        <v>0</v>
      </c>
      <c r="R89" s="530">
        <f>SUMPRODUCT($G$56:$G$81,R56:R81)</f>
        <v>0</v>
      </c>
      <c r="S89" s="530">
        <f>SUMPRODUCT($G$56:$G$81,S56:S81)</f>
        <v>0</v>
      </c>
      <c r="T89" s="530">
        <f>SUMPRODUCT($G$56:$G$81,T56:T81)</f>
        <v>0</v>
      </c>
      <c r="U89" s="530">
        <f>SUMPRODUCT($G$56:$G$81,U56:U81)</f>
        <v>0</v>
      </c>
      <c r="V89" s="530">
        <f>SUMPRODUCT($G$56:$G$81,V56:V81)</f>
        <v>0</v>
      </c>
      <c r="W89" s="530">
        <f>SUMPRODUCT($G$56:$G$81,W56:W81)</f>
        <v>0</v>
      </c>
      <c r="X89" s="530">
        <f>SUMPRODUCT($G$56:$G$81,X56:X81)</f>
        <v>0</v>
      </c>
      <c r="Y89" s="530">
        <f>SUMPRODUCT($G$56:$G$81,Y56:Y81)</f>
        <v>0</v>
      </c>
      <c r="Z89" s="530">
        <f>SUMPRODUCT($G$56:$G$81,Z56:Z81)</f>
        <v>0</v>
      </c>
      <c r="AA89" s="530">
        <f>SUMPRODUCT($G$56:$G$81,AA56:AA81)</f>
        <v>0</v>
      </c>
      <c r="AB89" s="530">
        <f>SUMPRODUCT($G$56:$G$81,AB56:AB81)</f>
        <v>0</v>
      </c>
      <c r="AC89" s="530">
        <f>SUMPRODUCT($G$56:$G$81,AC56:AC81)</f>
        <v>0</v>
      </c>
      <c r="AD89" s="530">
        <f>SUMPRODUCT($G$56:$G$81,AD56:AD81)</f>
        <v>0</v>
      </c>
      <c r="AE89" s="530">
        <f>SUMPRODUCT($G$56:$G$81,AE56:AE81)</f>
        <v>0</v>
      </c>
      <c r="AF89" s="530">
        <f>SUMPRODUCT($G$56:$G$81,AF56:AF81)</f>
        <v>0</v>
      </c>
      <c r="AG89" s="530">
        <f>SUMPRODUCT($G$56:$G$81,AG56:AG81)</f>
        <v>0</v>
      </c>
      <c r="AH89" s="530">
        <f>SUMPRODUCT($G$56:$G$81,AH56:AH81)</f>
        <v>0</v>
      </c>
      <c r="AI89" s="530">
        <f>SUMPRODUCT($G$56:$G$81,AI56:AI81)</f>
        <v>0</v>
      </c>
      <c r="AJ89" s="530">
        <f>SUMPRODUCT($G$56:$G$81,AJ56:AJ81)</f>
        <v>0</v>
      </c>
      <c r="AK89" s="530">
        <f>SUMPRODUCT($G$56:$G$81,AK56:AK81)</f>
        <v>0</v>
      </c>
      <c r="AL89" s="530">
        <f>SUMPRODUCT($G$56:$G$81,AL56:AL81)</f>
        <v>0</v>
      </c>
      <c r="AM89" s="530">
        <f>SUMPRODUCT($G$56:$G$81,AM56:AM81)</f>
        <v>0</v>
      </c>
      <c r="AN89" s="530">
        <f>SUMPRODUCT($G$56:$G$81,AN56:AN81)</f>
        <v>0</v>
      </c>
      <c r="AO89" s="530">
        <f>SUMPRODUCT($G$56:$G$81,AO56:AO81)</f>
        <v>0</v>
      </c>
      <c r="AP89" s="530">
        <f>SUMPRODUCT($G$56:$G$81,AP56:AP81)</f>
        <v>0</v>
      </c>
      <c r="AQ89" s="473">
        <f>SUM(H89:AP89)</f>
        <v>0</v>
      </c>
      <c r="AR89" s="440">
        <f>'Set-up and other costs'!$B$18*AQ89</f>
        <v>0</v>
      </c>
      <c r="AS89" s="510"/>
      <c r="AT89" s="510"/>
      <c r="AU89" s="510"/>
      <c r="AV89" s="510"/>
      <c r="BB89" s="4">
        <f>SUMIF($BH56:$BH81,1,G56:G81)+SUMIF($BJ56:$BJ81,1,G56:G81)</f>
        <v>0</v>
      </c>
      <c r="BF89" s="2">
        <f>BB89</f>
        <v>0</v>
      </c>
    </row>
    <row r="90" spans="1:58" ht="13.5" thickBot="1">
      <c r="A90" s="553"/>
      <c r="B90" s="20"/>
      <c r="C90" s="20"/>
      <c r="D90" s="20"/>
      <c r="E90" s="20"/>
      <c r="F90" s="20"/>
      <c r="G90" s="20"/>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548"/>
      <c r="AI90" s="548"/>
      <c r="AJ90" s="548"/>
      <c r="AK90" s="548"/>
      <c r="AL90" s="548"/>
      <c r="AM90" s="548"/>
      <c r="AN90" s="548"/>
      <c r="AO90" s="548"/>
      <c r="AP90" s="548"/>
      <c r="AQ90" s="549"/>
      <c r="AR90" s="550"/>
      <c r="AS90" s="510"/>
      <c r="AT90" s="510"/>
      <c r="AU90" s="510"/>
      <c r="AV90" s="510"/>
      <c r="BB90" s="554"/>
      <c r="BF90" s="555"/>
    </row>
    <row r="91" spans="8:48" ht="13.5" hidden="1" thickBot="1">
      <c r="H91" s="510">
        <f>SUM(H85:H89)</f>
        <v>0</v>
      </c>
      <c r="I91" s="510">
        <f>SUM(I85:I89)</f>
        <v>0</v>
      </c>
      <c r="J91" s="510">
        <f>SUM(J85:J89)</f>
        <v>0</v>
      </c>
      <c r="K91" s="510">
        <f>SUM(K85:K89)</f>
        <v>0</v>
      </c>
      <c r="L91" s="510">
        <f>SUM(L85:L89)</f>
        <v>0</v>
      </c>
      <c r="M91" s="510">
        <f>SUM(M85:M89)</f>
        <v>0</v>
      </c>
      <c r="N91" s="510">
        <f>SUM(N85:N89)</f>
        <v>0</v>
      </c>
      <c r="O91" s="510">
        <f>SUM(O85:O89)</f>
        <v>0</v>
      </c>
      <c r="P91" s="510">
        <f>SUM(P85:P89)</f>
        <v>0</v>
      </c>
      <c r="Q91" s="510">
        <f>SUM(Q85:Q89)</f>
        <v>0</v>
      </c>
      <c r="R91" s="510">
        <f>SUM(R85:R89)</f>
        <v>0</v>
      </c>
      <c r="S91" s="510">
        <f>SUM(S85:S89)</f>
        <v>0</v>
      </c>
      <c r="T91" s="510">
        <f>SUM(T85:T89)</f>
        <v>0</v>
      </c>
      <c r="U91" s="510">
        <f>SUM(U85:U89)</f>
        <v>0</v>
      </c>
      <c r="V91" s="510">
        <f>SUM(V85:V89)</f>
        <v>0</v>
      </c>
      <c r="W91" s="510">
        <f>SUM(W85:W89)</f>
        <v>0</v>
      </c>
      <c r="X91" s="510">
        <f>SUM(X85:X89)</f>
        <v>0</v>
      </c>
      <c r="Y91" s="510">
        <f>SUM(Y85:Y89)</f>
        <v>0</v>
      </c>
      <c r="Z91" s="510">
        <f>SUM(Z85:Z89)</f>
        <v>0</v>
      </c>
      <c r="AA91" s="510">
        <f>SUM(AA85:AA89)</f>
        <v>0</v>
      </c>
      <c r="AB91" s="510">
        <f>SUM(AB85:AB89)</f>
        <v>0</v>
      </c>
      <c r="AC91" s="510">
        <f>SUM(AC85:AC89)</f>
        <v>0</v>
      </c>
      <c r="AD91" s="510">
        <f>SUM(AD85:AD89)</f>
        <v>0</v>
      </c>
      <c r="AE91" s="510">
        <f>SUM(AE85:AE89)</f>
        <v>0</v>
      </c>
      <c r="AF91" s="510">
        <f>SUM(AF85:AF89)</f>
        <v>0</v>
      </c>
      <c r="AG91" s="510">
        <f>SUM(AG85:AG89)</f>
        <v>0</v>
      </c>
      <c r="AH91" s="510">
        <f>SUM(AH85:AH89)</f>
        <v>0</v>
      </c>
      <c r="AI91" s="510">
        <f>SUM(AI85:AI89)</f>
        <v>0</v>
      </c>
      <c r="AJ91" s="510">
        <f>SUM(AJ85:AJ89)</f>
        <v>0</v>
      </c>
      <c r="AK91" s="510">
        <f>SUM(AK85:AK89)</f>
        <v>0</v>
      </c>
      <c r="AL91" s="510">
        <f>SUM(AL85:AL89)</f>
        <v>0</v>
      </c>
      <c r="AM91" s="510">
        <f>SUM(AM85:AM89)</f>
        <v>0</v>
      </c>
      <c r="AN91" s="510">
        <f>SUM(AN85:AN89)</f>
        <v>0</v>
      </c>
      <c r="AO91" s="510">
        <f>SUM(AO85:AO89)</f>
        <v>0</v>
      </c>
      <c r="AP91" s="510">
        <f>SUM(AP85:AP89)</f>
        <v>0</v>
      </c>
      <c r="AQ91" s="510"/>
      <c r="AR91" s="510"/>
      <c r="AS91" s="510"/>
      <c r="AT91" s="510"/>
      <c r="AU91" s="510"/>
      <c r="AV91" s="510"/>
    </row>
    <row r="92" spans="1:59" ht="13.5" thickBot="1">
      <c r="A92" s="48" t="s">
        <v>53</v>
      </c>
      <c r="B92" s="46"/>
      <c r="C92" s="46"/>
      <c r="D92" s="46"/>
      <c r="E92" s="46"/>
      <c r="F92" s="46"/>
      <c r="G92" s="47"/>
      <c r="H92" s="530">
        <f>IF('Study Information &amp; rates'!$B$44="No",SUM(H85:H89),(0.337*H91)+H91)</f>
        <v>0</v>
      </c>
      <c r="I92" s="530">
        <f>IF('Study Information &amp; rates'!$B$44="No",SUM(I85:I89),(0.337*I91)+I91)</f>
        <v>0</v>
      </c>
      <c r="J92" s="530">
        <f>IF('Study Information &amp; rates'!$B$44="No",SUM(J85:J89),(0.337*J91)+J91)</f>
        <v>0</v>
      </c>
      <c r="K92" s="530">
        <f>IF('Study Information &amp; rates'!$B$44="No",SUM(K85:K89),(0.337*K91)+K91)</f>
        <v>0</v>
      </c>
      <c r="L92" s="530">
        <f>IF('Study Information &amp; rates'!$B$44="No",SUM(L85:L89),(0.337*L91)+L91)</f>
        <v>0</v>
      </c>
      <c r="M92" s="530">
        <f>IF('Study Information &amp; rates'!$B$44="No",SUM(M85:M89),(0.337*M91)+M91)</f>
        <v>0</v>
      </c>
      <c r="N92" s="530">
        <f>IF('Study Information &amp; rates'!$B$44="No",SUM(N85:N89),(0.337*N91)+N91)</f>
        <v>0</v>
      </c>
      <c r="O92" s="530">
        <f>IF('Study Information &amp; rates'!$B$44="No",SUM(O85:O89),(0.337*O91)+O91)</f>
        <v>0</v>
      </c>
      <c r="P92" s="530">
        <f>IF('Study Information &amp; rates'!$B$44="No",SUM(P85:P89),(0.337*P91)+P91)</f>
        <v>0</v>
      </c>
      <c r="Q92" s="530">
        <f>IF('Study Information &amp; rates'!$B$44="No",SUM(Q85:Q89),(0.337*Q91)+Q91)</f>
        <v>0</v>
      </c>
      <c r="R92" s="530">
        <f>IF('Study Information &amp; rates'!$B$44="No",SUM(R85:R89),(0.337*R91)+R91)</f>
        <v>0</v>
      </c>
      <c r="S92" s="530">
        <f>IF('Study Information &amp; rates'!$B$44="No",SUM(S85:S89),(0.337*S91)+S91)</f>
        <v>0</v>
      </c>
      <c r="T92" s="530">
        <f>IF('Study Information &amp; rates'!$B$44="No",SUM(T85:T89),(0.337*T91)+T91)</f>
        <v>0</v>
      </c>
      <c r="U92" s="530">
        <f>IF('Study Information &amp; rates'!$B$44="No",SUM(U85:U89),(0.337*U91)+U91)</f>
        <v>0</v>
      </c>
      <c r="V92" s="530">
        <f>IF('Study Information &amp; rates'!$B$44="No",SUM(V85:V89),(0.337*V91)+V91)</f>
        <v>0</v>
      </c>
      <c r="W92" s="530">
        <f>IF('Study Information &amp; rates'!$B$44="No",SUM(W85:W89),(0.337*W91)+W91)</f>
        <v>0</v>
      </c>
      <c r="X92" s="530">
        <f>IF('Study Information &amp; rates'!$B$44="No",SUM(X85:X89),(0.337*X91)+X91)</f>
        <v>0</v>
      </c>
      <c r="Y92" s="530">
        <f>IF('Study Information &amp; rates'!$B$44="No",SUM(Y85:Y89),(0.337*Y91)+Y91)</f>
        <v>0</v>
      </c>
      <c r="Z92" s="530">
        <f>IF('Study Information &amp; rates'!$B$44="No",SUM(Z85:Z89),(0.337*Z91)+Z91)</f>
        <v>0</v>
      </c>
      <c r="AA92" s="530">
        <f>IF('Study Information &amp; rates'!$B$44="No",SUM(AA85:AA89),(0.337*AA91)+AA91)</f>
        <v>0</v>
      </c>
      <c r="AB92" s="530">
        <f>IF('Study Information &amp; rates'!$B$44="No",SUM(AB85:AB89),(0.337*AB91)+AB91)</f>
        <v>0</v>
      </c>
      <c r="AC92" s="530">
        <f>IF('Study Information &amp; rates'!$B$44="No",SUM(AC85:AC89),(0.337*AC91)+AC91)</f>
        <v>0</v>
      </c>
      <c r="AD92" s="530">
        <f>IF('Study Information &amp; rates'!$B$44="No",SUM(AD85:AD89),(0.337*AD91)+AD91)</f>
        <v>0</v>
      </c>
      <c r="AE92" s="530">
        <f>IF('Study Information &amp; rates'!$B$44="No",SUM(AE85:AE89),(0.337*AE91)+AE91)</f>
        <v>0</v>
      </c>
      <c r="AF92" s="530">
        <f>IF('Study Information &amp; rates'!$B$44="No",SUM(AF85:AF89),(0.337*AF91)+AF91)</f>
        <v>0</v>
      </c>
      <c r="AG92" s="530">
        <f>IF('Study Information &amp; rates'!$B$44="No",SUM(AG85:AG89),(0.337*AG91)+AG91)</f>
        <v>0</v>
      </c>
      <c r="AH92" s="530">
        <f>IF('Study Information &amp; rates'!$B$44="No",SUM(AH85:AH89),(0.337*AH91)+AH91)</f>
        <v>0</v>
      </c>
      <c r="AI92" s="530">
        <f>IF('Study Information &amp; rates'!$B$44="No",SUM(AI85:AI89),(0.337*AI91)+AI91)</f>
        <v>0</v>
      </c>
      <c r="AJ92" s="530">
        <f>IF('Study Information &amp; rates'!$B$44="No",SUM(AJ85:AJ89),(0.337*AJ91)+AJ91)</f>
        <v>0</v>
      </c>
      <c r="AK92" s="530">
        <f>IF('Study Information &amp; rates'!$B$44="No",SUM(AK85:AK89),(0.337*AK91)+AK91)</f>
        <v>0</v>
      </c>
      <c r="AL92" s="530">
        <f>IF('Study Information &amp; rates'!$B$44="No",SUM(AL85:AL89),(0.337*AL91)+AL91)</f>
        <v>0</v>
      </c>
      <c r="AM92" s="530">
        <f>IF('Study Information &amp; rates'!$B$44="No",SUM(AM85:AM89),(0.337*AM91)+AM91)</f>
        <v>0</v>
      </c>
      <c r="AN92" s="530">
        <f>IF('Study Information &amp; rates'!$B$44="No",SUM(AN85:AN89),(0.337*AN91)+AN91)</f>
        <v>0</v>
      </c>
      <c r="AO92" s="530">
        <f>IF('Study Information &amp; rates'!$B$44="No",SUM(AO85:AO89),(0.337*AO91)+AO91)</f>
        <v>0</v>
      </c>
      <c r="AP92" s="530">
        <f>IF('Study Information &amp; rates'!$B$44="No",SUM(AP85:AP89),(0.337*AP91)+AP91)</f>
        <v>0</v>
      </c>
      <c r="AQ92" s="545">
        <f>SUM(H92:AP92)</f>
        <v>0</v>
      </c>
      <c r="AR92" s="440">
        <f>'Set-up and other costs'!$B$18*AQ92</f>
        <v>0</v>
      </c>
      <c r="AS92" s="510"/>
      <c r="AT92" s="510"/>
      <c r="AU92" s="510"/>
      <c r="AV92" s="510"/>
      <c r="BG92" s="2">
        <f>SUM(BF85:BF89)</f>
        <v>0</v>
      </c>
    </row>
  </sheetData>
  <sheetProtection password="9437" sheet="1" objects="1" scenarios="1"/>
  <conditionalFormatting sqref="AW51:AZ51">
    <cfRule type="containsText" dxfId="78" operator="containsText" text="False" priority="5">
      <formula>NOT(ISERROR(SEARCH("False",AW51)))</formula>
    </cfRule>
    <cfRule type="containsText" dxfId="79" operator="containsText" text="True" priority="6">
      <formula>NOT(ISERROR(SEARCH("True",AW51)))</formula>
    </cfRule>
  </conditionalFormatting>
  <conditionalFormatting sqref="B2">
    <cfRule type="containsText" dxfId="80" operator="containsText" text="False" priority="3">
      <formula>NOT(ISERROR(SEARCH("False",B2)))</formula>
    </cfRule>
    <cfRule type="containsText" dxfId="81" operator="containsText" text="True" priority="4">
      <formula>NOT(ISERROR(SEARCH("True",B2)))</formula>
    </cfRule>
  </conditionalFormatting>
  <conditionalFormatting sqref="BG85:BG88">
    <cfRule type="containsText" dxfId="82" operator="containsText" text="False" priority="1">
      <formula>NOT(ISERROR(SEARCH("False",BG85)))</formula>
    </cfRule>
    <cfRule type="containsText" dxfId="83" operator="containsText" text="True" priority="2">
      <formula>NOT(ISERROR(SEARCH("True",BG85)))</formula>
    </cfRule>
  </conditionalFormatting>
  <dataValidations count="7">
    <dataValidation type="whole" operator="greaterThan" allowBlank="1" showInputMessage="1" showErrorMessage="1" sqref="H56:AQ56 H8:AQ46">
      <formula1>0</formula1>
    </dataValidation>
    <dataValidation type="list" allowBlank="1" showInputMessage="1" sqref="A56:A81">
      <formula1>CostList</formula1>
    </dataValidation>
    <dataValidation type="list" allowBlank="1" showInputMessage="1" showErrorMessage="1" sqref="B56:B81 B8:B46">
      <formula1>AcCord</formula1>
    </dataValidation>
    <dataValidation type="list" allowBlank="1" showInputMessage="1" showErrorMessage="1" sqref="C56:C81">
      <formula1>Alan2</formula1>
    </dataValidation>
    <dataValidation type="list" allowBlank="1" showInputMessage="1" sqref="A8:A46">
      <formula1>'[1]#REF'!#REF!</formula1>
    </dataValidation>
    <dataValidation type="list" allowBlank="1" showInputMessage="1" showErrorMessage="1" sqref="B8:B46">
      <formula1>'Look Up'!A5:A9</formula1>
    </dataValidation>
    <dataValidation type="list" allowBlank="1" showInputMessage="1" showErrorMessage="1" sqref="B56:B81">
      <formula1>'Look Up'!A55:A59</formula1>
    </dataValidation>
  </dataValidations>
  <pageMargins left="0.7" right="0.7" top="0.75" bottom="0.75" header="0.3" footer="0.3"/>
  <pageSetup paperSize="8" scale="60" orientation="landscape"/>
  <headerFooter scaleWithDoc="1" alignWithMargins="0" differentFirst="0" differentOddEven="0"/>
  <extLst/>
</worksheet>
</file>

<file path=xl/worksheets/sheet1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1">
    <tabColor rgb="FFFF0000"/>
  </sheetPr>
  <dimension ref="A1:BU92"/>
  <sheetViews>
    <sheetView topLeftCell="A1" zoomScale="80" view="normal" workbookViewId="0">
      <pane xSplit="1" ySplit="7" topLeftCell="B8" activePane="bottomRight" state="frozen"/>
      <selection pane="bottomRight" activeCell="M36" sqref="M36"/>
    </sheetView>
  </sheetViews>
  <sheetFormatPr defaultColWidth="9.1796875" defaultRowHeight="13"/>
  <cols>
    <col min="1" max="1" width="52.140625" style="6" customWidth="1"/>
    <col min="2" max="2" width="18.7109375" style="6" customWidth="1"/>
    <col min="3" max="4" width="11.7109375" style="6" customWidth="1"/>
    <col min="5" max="5" width="11.27734375" style="6" customWidth="1"/>
    <col min="6" max="6" width="10.84765625" style="6" customWidth="1"/>
    <col min="7" max="7" width="18.140625" style="6" customWidth="1"/>
    <col min="8" max="8" width="13.84765625" style="6" customWidth="1"/>
    <col min="9" max="42" width="11.27734375" style="6" customWidth="1"/>
    <col min="43" max="43" width="5" style="6" customWidth="1"/>
    <col min="44" max="44" width="15.27734375" style="6" customWidth="1"/>
    <col min="45" max="47" width="12.84765625" style="6" customWidth="1"/>
    <col min="48" max="48" width="12.41796875" style="6" customWidth="1"/>
    <col min="49" max="49" width="9.27734375" style="6" customWidth="1"/>
    <col min="50" max="52" width="9.140625" style="6" customWidth="1"/>
    <col min="53" max="73" width="9.140625" style="6" hidden="1" customWidth="1"/>
    <col min="74" max="16384" width="9.140625" style="6" customWidth="1"/>
  </cols>
  <sheetData>
    <row r="1" spans="1:48" ht="26.25" customHeight="1">
      <c r="A1" s="25" t="s">
        <v>52</v>
      </c>
      <c r="B1" s="182"/>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row>
    <row r="2" spans="1:48" ht="20.25" customHeight="1">
      <c r="A2" s="24">
        <f>AV47+AV82</f>
        <v>0</v>
      </c>
      <c r="B2" s="13" t="b">
        <f>A2=AR92</f>
        <v>1</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row>
    <row r="3" spans="1:48" ht="18.75" customHeight="1">
      <c r="A3" s="50">
        <f>H92</f>
        <v>0</v>
      </c>
      <c r="B3" s="184" t="s">
        <v>45</v>
      </c>
      <c r="C3" s="185"/>
      <c r="D3" s="185"/>
      <c r="E3" s="185"/>
      <c r="F3" s="185"/>
      <c r="G3" s="186"/>
      <c r="H3" s="185"/>
      <c r="I3" s="185"/>
      <c r="J3" s="185"/>
      <c r="K3" s="183"/>
      <c r="L3" s="183"/>
      <c r="M3" s="185"/>
      <c r="N3" s="185"/>
      <c r="O3" s="183"/>
      <c r="P3" s="183"/>
      <c r="Q3" s="183"/>
      <c r="R3" s="183"/>
      <c r="S3" s="183"/>
      <c r="T3" s="183"/>
      <c r="U3" s="183"/>
      <c r="V3" s="183"/>
      <c r="W3" s="183"/>
      <c r="X3" s="183"/>
      <c r="Y3" s="183"/>
      <c r="Z3" s="183"/>
      <c r="AA3" s="183"/>
      <c r="AB3" s="183"/>
      <c r="AC3" s="183"/>
      <c r="AD3" s="183"/>
      <c r="AE3" s="183"/>
      <c r="AF3" s="185"/>
      <c r="AG3" s="185"/>
      <c r="AH3" s="183"/>
      <c r="AI3" s="183"/>
      <c r="AJ3" s="183"/>
      <c r="AK3" s="183"/>
      <c r="AL3" s="183"/>
      <c r="AM3" s="183"/>
      <c r="AN3" s="183"/>
      <c r="AO3" s="183"/>
      <c r="AP3" s="183"/>
      <c r="AQ3" s="183"/>
      <c r="AR3" s="183"/>
      <c r="AS3" s="183"/>
      <c r="AT3" s="183"/>
      <c r="AU3" s="183"/>
      <c r="AV3" s="183"/>
    </row>
    <row r="4" spans="1:33" s="183" customFormat="1" ht="27" customHeight="1">
      <c r="A4" s="705" t="s">
        <v>2291</v>
      </c>
      <c r="B4" s="706">
        <f>SUMIFS(AU8:AU46,B8:B46,"Research Cost A")+SUMIFS(AU56:AU82,B56:B82,"Research Cost A")+SUMIFS(AU8:AU46,B8:B46,"Research Cost B")+SUMIFS(AU56:AU82,B56:B82,"Research Cost B")</f>
        <v>0</v>
      </c>
      <c r="D4" s="185"/>
      <c r="E4" s="185"/>
      <c r="F4" s="185"/>
      <c r="G4" s="186"/>
      <c r="H4" s="185"/>
      <c r="I4" s="185"/>
      <c r="J4" s="185"/>
      <c r="M4" s="185"/>
      <c r="N4" s="185"/>
      <c r="AF4" s="185"/>
      <c r="AG4" s="185"/>
    </row>
    <row r="5" spans="1:48" ht="28.5" customHeight="1">
      <c r="A5" s="22" t="s">
        <v>23</v>
      </c>
      <c r="B5" s="187"/>
      <c r="C5" s="185"/>
      <c r="D5" s="185"/>
      <c r="E5" s="185"/>
      <c r="F5" s="185"/>
      <c r="G5" s="188"/>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3:42">
      <c r="C6" s="7"/>
      <c r="D6" s="7"/>
      <c r="E6" s="7"/>
      <c r="F6" s="7"/>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row>
    <row r="7" spans="1:72" s="11" customFormat="1" ht="39">
      <c r="A7" s="453" t="s">
        <v>0</v>
      </c>
      <c r="B7" s="430" t="s">
        <v>2059</v>
      </c>
      <c r="C7" s="430" t="s">
        <v>1968</v>
      </c>
      <c r="D7" s="430" t="s">
        <v>1969</v>
      </c>
      <c r="E7" s="430" t="s">
        <v>9</v>
      </c>
      <c r="F7" s="430" t="s">
        <v>8</v>
      </c>
      <c r="G7" s="546" t="s">
        <v>2</v>
      </c>
      <c r="H7" s="430" t="s">
        <v>58</v>
      </c>
      <c r="I7" s="430" t="s">
        <v>56</v>
      </c>
      <c r="J7" s="430" t="s">
        <v>15</v>
      </c>
      <c r="K7" s="430" t="s">
        <v>16</v>
      </c>
      <c r="L7" s="430" t="s">
        <v>57</v>
      </c>
      <c r="M7" s="430" t="s">
        <v>17</v>
      </c>
      <c r="N7" s="430" t="s">
        <v>18</v>
      </c>
      <c r="O7" s="430" t="s">
        <v>39</v>
      </c>
      <c r="P7" s="430" t="s">
        <v>61</v>
      </c>
      <c r="Q7" s="430" t="s">
        <v>1860</v>
      </c>
      <c r="R7" s="430" t="s">
        <v>1861</v>
      </c>
      <c r="S7" s="430" t="s">
        <v>1862</v>
      </c>
      <c r="T7" s="430" t="s">
        <v>1863</v>
      </c>
      <c r="U7" s="430" t="s">
        <v>1864</v>
      </c>
      <c r="V7" s="430" t="s">
        <v>1865</v>
      </c>
      <c r="W7" s="430" t="s">
        <v>1866</v>
      </c>
      <c r="X7" s="430" t="s">
        <v>1867</v>
      </c>
      <c r="Y7" s="430" t="s">
        <v>1868</v>
      </c>
      <c r="Z7" s="430" t="s">
        <v>1869</v>
      </c>
      <c r="AA7" s="430" t="s">
        <v>1870</v>
      </c>
      <c r="AB7" s="430" t="s">
        <v>1902</v>
      </c>
      <c r="AC7" s="430" t="s">
        <v>1903</v>
      </c>
      <c r="AD7" s="430" t="s">
        <v>1904</v>
      </c>
      <c r="AE7" s="430" t="s">
        <v>1948</v>
      </c>
      <c r="AF7" s="430" t="s">
        <v>1949</v>
      </c>
      <c r="AG7" s="430" t="s">
        <v>1950</v>
      </c>
      <c r="AH7" s="430" t="s">
        <v>1951</v>
      </c>
      <c r="AI7" s="430" t="s">
        <v>1952</v>
      </c>
      <c r="AJ7" s="430" t="s">
        <v>1953</v>
      </c>
      <c r="AK7" s="430" t="s">
        <v>1954</v>
      </c>
      <c r="AL7" s="430" t="s">
        <v>1955</v>
      </c>
      <c r="AM7" s="430" t="s">
        <v>1956</v>
      </c>
      <c r="AN7" s="430" t="s">
        <v>1957</v>
      </c>
      <c r="AO7" s="430" t="s">
        <v>1958</v>
      </c>
      <c r="AP7" s="430" t="s">
        <v>1959</v>
      </c>
      <c r="AQ7" s="434"/>
      <c r="AR7" s="439" t="s">
        <v>3</v>
      </c>
      <c r="AS7" s="439" t="s">
        <v>5</v>
      </c>
      <c r="AT7" s="439" t="s">
        <v>1852</v>
      </c>
      <c r="AU7" s="439" t="s">
        <v>2251</v>
      </c>
      <c r="AV7" s="439" t="s">
        <v>2252</v>
      </c>
      <c r="BC7" s="9" t="s">
        <v>3</v>
      </c>
      <c r="BD7" s="9" t="s">
        <v>5</v>
      </c>
      <c r="BE7" s="9" t="s">
        <v>1852</v>
      </c>
      <c r="BF7" s="9" t="s">
        <v>4</v>
      </c>
      <c r="BG7" s="11" t="s">
        <v>1983</v>
      </c>
      <c r="BH7" s="11" t="s">
        <v>2021</v>
      </c>
      <c r="BI7" s="11" t="s">
        <v>2022</v>
      </c>
      <c r="BJ7" s="11" t="s">
        <v>1984</v>
      </c>
      <c r="BL7" s="11" t="s">
        <v>1968</v>
      </c>
      <c r="BM7" s="11" t="s">
        <v>1969</v>
      </c>
      <c r="BN7" s="11" t="s">
        <v>9</v>
      </c>
      <c r="BO7" s="11" t="s">
        <v>8</v>
      </c>
      <c r="BQ7" s="11" t="s">
        <v>1968</v>
      </c>
      <c r="BR7" s="11" t="s">
        <v>1969</v>
      </c>
      <c r="BS7" s="11" t="s">
        <v>9</v>
      </c>
      <c r="BT7" s="11" t="s">
        <v>8</v>
      </c>
    </row>
    <row r="8" spans="1:72">
      <c r="A8" s="8"/>
      <c r="B8" s="8"/>
      <c r="C8" s="326"/>
      <c r="D8" s="326"/>
      <c r="E8" s="326"/>
      <c r="F8" s="326"/>
      <c r="G8" s="532">
        <f>IF(ISERROR((C8*'Study Information &amp; rates'!$B$101+D8*'Study Information &amp; rates'!$C$101+E8*'Study Information &amp; rates'!$D$101+F8*'Study Information &amp; rates'!$F$101)),0,(C8*'Study Information &amp; rates'!$B$101+D8*'Study Information &amp; rates'!$C$101+E8*'Study Information &amp; rates'!$D$101+F8*'Study Information &amp; rates'!$F$101))</f>
        <v>0</v>
      </c>
      <c r="H8" s="8"/>
      <c r="I8" s="8"/>
      <c r="J8" s="8"/>
      <c r="K8" s="8"/>
      <c r="L8" s="8"/>
      <c r="M8" s="8"/>
      <c r="N8" s="8"/>
      <c r="O8" s="8"/>
      <c r="P8" s="8"/>
      <c r="Q8" s="8">
        <v>1</v>
      </c>
      <c r="R8" s="8"/>
      <c r="S8" s="8"/>
      <c r="T8" s="8"/>
      <c r="U8" s="8"/>
      <c r="V8" s="8"/>
      <c r="W8" s="8"/>
      <c r="X8" s="8"/>
      <c r="Y8" s="8"/>
      <c r="Z8" s="8"/>
      <c r="AA8" s="8"/>
      <c r="AB8" s="8"/>
      <c r="AC8" s="8"/>
      <c r="AD8" s="8"/>
      <c r="AE8" s="8"/>
      <c r="AF8" s="8"/>
      <c r="AG8" s="8"/>
      <c r="AH8" s="8"/>
      <c r="AI8" s="8"/>
      <c r="AJ8" s="8"/>
      <c r="AK8" s="8"/>
      <c r="AL8" s="8"/>
      <c r="AM8" s="8"/>
      <c r="AN8" s="8"/>
      <c r="AO8" s="8"/>
      <c r="AP8" s="8"/>
      <c r="AQ8" s="428"/>
      <c r="AR8" s="440">
        <f>(SUM(H8:AP8))*G8</f>
        <v>0</v>
      </c>
      <c r="AS8" s="440">
        <f>IF('Study Information &amp; rates'!$B$44="Yes",AR8*0.287,0)</f>
        <v>0</v>
      </c>
      <c r="AT8" s="440">
        <f>IF('Study Information &amp; rates'!$B$44="No",0,AR8*0.05)</f>
        <v>0</v>
      </c>
      <c r="AU8" s="440">
        <f>AR8+AS8+AT8</f>
        <v>0</v>
      </c>
      <c r="AV8" s="440">
        <f>'Set-up and other costs'!$B$18*AU8</f>
        <v>0</v>
      </c>
      <c r="BC8" s="2">
        <f>H8*G8</f>
        <v>0</v>
      </c>
      <c r="BD8" s="2">
        <f>IF('Study Information &amp; rates'!$B$44='Study Information &amp; rates'!$V$12,BC8*0.287,0)</f>
        <v>0</v>
      </c>
      <c r="BE8" s="2">
        <f>IF((Reconciliation!$C$15)&gt;5000,BC8*0.05,0)</f>
        <v>0</v>
      </c>
      <c r="BF8" s="2">
        <f>BC8+BD8+BE8</f>
        <v>0</v>
      </c>
      <c r="BG8" s="6" t="b">
        <f>IF($B8='Look Up'!$A$5,$H8)</f>
        <v>0</v>
      </c>
      <c r="BH8" s="6" t="b">
        <f>IF($B8='Look Up'!$A$6,$H8)</f>
        <v>0</v>
      </c>
      <c r="BI8" s="6" t="b">
        <f>IF($B8='Look Up'!$A$7,$H8)</f>
        <v>0</v>
      </c>
      <c r="BJ8" s="6" t="b">
        <f>IF($B8='Look Up'!$A$7,$H8)</f>
        <v>0</v>
      </c>
      <c r="BL8" s="6">
        <f>IF($B8='Look Up'!$A$6,$C8*$H8,0)+IF($B8='Look Up'!$A$7,$C8*$H8,0)</f>
        <v>0</v>
      </c>
      <c r="BM8" s="6">
        <f>IF($B8='Look Up'!$A$6,$D8*$H8,0)+IF($B8='Look Up'!$A$7,$D8*$H8,0)</f>
        <v>0</v>
      </c>
      <c r="BN8" s="6">
        <f>IF($B8='Look Up'!$A$6,$E8*$H8,0)+IF($B8='Look Up'!$A$7,$E8*$H8,0)</f>
        <v>0</v>
      </c>
      <c r="BO8" s="6">
        <f>IF($B8='Look Up'!$A$6,$F8*$H8,0)+IF($B8='Look Up'!$A$7,$F8*$H8,0)</f>
        <v>0</v>
      </c>
      <c r="BQ8" s="6">
        <f>$C8*'Study Information &amp; rates'!$B$101*IF('Study Information &amp; rates'!$B$44='Study Information &amp; rates'!$V$12,(SUM($H8:$AP8)*1.287),(SUM($H8:$AP8)))</f>
        <v>0</v>
      </c>
      <c r="BR8" s="6">
        <f>$D8*'Study Information &amp; rates'!$C$101*IF('Study Information &amp; rates'!$B$44='Study Information &amp; rates'!$V$12,(SUM($H8:$AP8)*1.287),(SUM($H8:$AP8)))</f>
        <v>0</v>
      </c>
      <c r="BS8" s="6">
        <f>$E8*'Study Information &amp; rates'!$D$101*IF('Study Information &amp; rates'!$B$44='Study Information &amp; rates'!$V$12,(SUM($H8:$AP8)*1.287),(SUM($H8:$AP8)))</f>
        <v>0</v>
      </c>
      <c r="BT8" s="6">
        <f>$F8*'Study Information &amp; rates'!$F$101*IF('Study Information &amp; rates'!$B$44='Study Information &amp; rates'!$V$12,(SUM($H8:$AP8)*1.287),(SUM($H8:$AP8)))</f>
        <v>0</v>
      </c>
    </row>
    <row r="9" spans="1:72">
      <c r="A9" s="8"/>
      <c r="B9" s="8"/>
      <c r="C9" s="326"/>
      <c r="D9" s="326"/>
      <c r="E9" s="326"/>
      <c r="F9" s="326"/>
      <c r="G9" s="532">
        <f>IF(ISERROR((C9*'Study Information &amp; rates'!$B$101+D9*'Study Information &amp; rates'!$C$101+E9*'Study Information &amp; rates'!$D$101+F9*'Study Information &amp; rates'!$F$101)),0,(C9*'Study Information &amp; rates'!$B$101+D9*'Study Information &amp; rates'!$C$101+E9*'Study Information &amp; rates'!$D$101+F9*'Study Information &amp; rates'!$F$101))</f>
        <v>0</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428"/>
      <c r="AR9" s="440">
        <f>(SUM(H9:AP9))*G9</f>
        <v>0</v>
      </c>
      <c r="AS9" s="440">
        <f>IF('Study Information &amp; rates'!$B$44="Yes",AR9*0.287,0)</f>
        <v>0</v>
      </c>
      <c r="AT9" s="440">
        <f>IF('Study Information &amp; rates'!$B$44="No",0,AR9*0.05)</f>
        <v>0</v>
      </c>
      <c r="AU9" s="440">
        <f>AR9+AS9+AT9</f>
        <v>0</v>
      </c>
      <c r="AV9" s="440">
        <f>'Set-up and other costs'!$B$18*AU9</f>
        <v>0</v>
      </c>
      <c r="BC9" s="2">
        <f>H9*G9</f>
        <v>0</v>
      </c>
      <c r="BD9" s="2">
        <f>IF('Study Information &amp; rates'!$B$44='Study Information &amp; rates'!$V$12,BC9*0.287,0)</f>
        <v>0</v>
      </c>
      <c r="BE9" s="2">
        <f>IF((Reconciliation!$C$15)&gt;5000,BC9*0.05,0)</f>
        <v>0</v>
      </c>
      <c r="BF9" s="2">
        <f>BC9+BD9+BE9</f>
        <v>0</v>
      </c>
      <c r="BG9" s="6" t="b">
        <f>IF($B9='Look Up'!$A$5,$H9)</f>
        <v>0</v>
      </c>
      <c r="BH9" s="6" t="b">
        <f>IF($B9='Look Up'!$A$6,$H9)</f>
        <v>0</v>
      </c>
      <c r="BI9" s="6" t="b">
        <f>IF($B9='Look Up'!$A$7,$H9)</f>
        <v>0</v>
      </c>
      <c r="BJ9" s="6" t="b">
        <f>IF($B9='Look Up'!$A$7,$H9)</f>
        <v>0</v>
      </c>
      <c r="BL9" s="6">
        <f>IF($B9='Look Up'!$A$6,$C9*$H9,0)+IF($B9='Look Up'!$A$7,$C9*$H9,0)</f>
        <v>0</v>
      </c>
      <c r="BM9" s="6">
        <f>IF($B9='Look Up'!$A$6,$D9*$H9,0)+IF($B9='Look Up'!$A$7,$D9*$H9,0)</f>
        <v>0</v>
      </c>
      <c r="BN9" s="6">
        <f>IF($B9='Look Up'!$A$6,$E9*$H9,0)+IF($B9='Look Up'!$A$7,$E9*$H9,0)</f>
        <v>0</v>
      </c>
      <c r="BO9" s="6">
        <f>IF($B9='Look Up'!$A$6,$F9*$H9,0)+IF($B9='Look Up'!$A$7,$F9*$H9,0)</f>
        <v>0</v>
      </c>
      <c r="BQ9" s="6">
        <f>$C9*'Study Information &amp; rates'!$B$101*IF('Study Information &amp; rates'!$B$44='Study Information &amp; rates'!$V$12,(SUM($H9:$AP9)*1.287),(SUM($H9:$AP9)))</f>
        <v>0</v>
      </c>
      <c r="BR9" s="6">
        <f>$D9*'Study Information &amp; rates'!$C$101*IF('Study Information &amp; rates'!$B$44='Study Information &amp; rates'!$V$12,(SUM($H9:$AP9)*1.287),(SUM($H9:$AP9)))</f>
        <v>0</v>
      </c>
      <c r="BS9" s="6">
        <f>$E9*'Study Information &amp; rates'!$D$101*IF('Study Information &amp; rates'!$B$44='Study Information &amp; rates'!$V$12,(SUM($H9:$AP9)*1.287),(SUM($H9:$AP9)))</f>
        <v>0</v>
      </c>
      <c r="BT9" s="6">
        <f>$F9*'Study Information &amp; rates'!$F$101*IF('Study Information &amp; rates'!$B$44='Study Information &amp; rates'!$V$12,(SUM($H9:$AP9)*1.287),(SUM($H9:$AP9)))</f>
        <v>0</v>
      </c>
    </row>
    <row r="10" spans="1:72">
      <c r="A10" s="8"/>
      <c r="B10" s="8"/>
      <c r="C10" s="326"/>
      <c r="D10" s="326"/>
      <c r="E10" s="326"/>
      <c r="F10" s="326"/>
      <c r="G10" s="532">
        <f>IF(ISERROR((C10*'Study Information &amp; rates'!$B$101+D10*'Study Information &amp; rates'!$C$101+E10*'Study Information &amp; rates'!$D$101+F10*'Study Information &amp; rates'!$F$101)),0,(C10*'Study Information &amp; rates'!$B$101+D10*'Study Information &amp; rates'!$C$101+E10*'Study Information &amp; rates'!$D$101+F10*'Study Information &amp; rates'!$F$101))</f>
        <v>0</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428"/>
      <c r="AR10" s="440">
        <f>(SUM(H10:AP10))*G10</f>
        <v>0</v>
      </c>
      <c r="AS10" s="440">
        <f>IF('Study Information &amp; rates'!$B$44="Yes",AR10*0.287,0)</f>
        <v>0</v>
      </c>
      <c r="AT10" s="440">
        <f>IF('Study Information &amp; rates'!$B$44="No",0,AR10*0.05)</f>
        <v>0</v>
      </c>
      <c r="AU10" s="440">
        <f>AR10+AS10+AT10</f>
        <v>0</v>
      </c>
      <c r="AV10" s="440">
        <f>'Set-up and other costs'!$B$18*AU10</f>
        <v>0</v>
      </c>
      <c r="BC10" s="2">
        <f>H10*G10</f>
        <v>0</v>
      </c>
      <c r="BD10" s="2">
        <f>IF('Study Information &amp; rates'!$B$44='Study Information &amp; rates'!$V$12,BC10*0.287,0)</f>
        <v>0</v>
      </c>
      <c r="BE10" s="2">
        <f>IF((Reconciliation!$C$15)&gt;5000,BC10*0.05,0)</f>
        <v>0</v>
      </c>
      <c r="BF10" s="2">
        <f>BC10+BD10+BE10</f>
        <v>0</v>
      </c>
      <c r="BG10" s="6" t="b">
        <f>IF($B10='Look Up'!$A$5,$H10)</f>
        <v>0</v>
      </c>
      <c r="BH10" s="6" t="b">
        <f>IF($B10='Look Up'!$A$6,$H10)</f>
        <v>0</v>
      </c>
      <c r="BI10" s="6" t="b">
        <f>IF($B10='Look Up'!$A$7,$H10)</f>
        <v>0</v>
      </c>
      <c r="BJ10" s="6" t="b">
        <f>IF($B10='Look Up'!$A$7,$H10)</f>
        <v>0</v>
      </c>
      <c r="BL10" s="6">
        <f>IF($B10='Look Up'!$A$6,$C10*$H10,0)+IF($B10='Look Up'!$A$7,$C10*$H10,0)</f>
        <v>0</v>
      </c>
      <c r="BM10" s="6">
        <f>IF($B10='Look Up'!$A$6,$D10*$H10,0)+IF($B10='Look Up'!$A$7,$D10*$H10,0)</f>
        <v>0</v>
      </c>
      <c r="BN10" s="6">
        <f>IF($B10='Look Up'!$A$6,$E10*$H10,0)+IF($B10='Look Up'!$A$7,$E10*$H10,0)</f>
        <v>0</v>
      </c>
      <c r="BO10" s="6">
        <f>IF($B10='Look Up'!$A$6,$F10*$H10,0)+IF($B10='Look Up'!$A$7,$F10*$H10,0)</f>
        <v>0</v>
      </c>
      <c r="BQ10" s="6">
        <f>$C10*'Study Information &amp; rates'!$B$101*IF('Study Information &amp; rates'!$B$44='Study Information &amp; rates'!$V$12,(SUM($H10:$AP10)*1.287),(SUM($H10:$AP10)))</f>
        <v>0</v>
      </c>
      <c r="BR10" s="6">
        <f>$D10*'Study Information &amp; rates'!$C$101*IF('Study Information &amp; rates'!$B$44='Study Information &amp; rates'!$V$12,(SUM($H10:$AP10)*1.287),(SUM($H10:$AP10)))</f>
        <v>0</v>
      </c>
      <c r="BS10" s="6">
        <f>$E10*'Study Information &amp; rates'!$D$101*IF('Study Information &amp; rates'!$B$44='Study Information &amp; rates'!$V$12,(SUM($H10:$AP10)*1.287),(SUM($H10:$AP10)))</f>
        <v>0</v>
      </c>
      <c r="BT10" s="6">
        <f>$F10*'Study Information &amp; rates'!$F$101*IF('Study Information &amp; rates'!$B$44='Study Information &amp; rates'!$V$12,(SUM($H10:$AP10)*1.287),(SUM($H10:$AP10)))</f>
        <v>0</v>
      </c>
    </row>
    <row r="11" spans="1:72">
      <c r="A11" s="8"/>
      <c r="B11" s="8"/>
      <c r="C11" s="326"/>
      <c r="D11" s="326"/>
      <c r="E11" s="326"/>
      <c r="F11" s="326"/>
      <c r="G11" s="532">
        <f>IF(ISERROR((C11*'Study Information &amp; rates'!$B$101+D11*'Study Information &amp; rates'!$C$101+E11*'Study Information &amp; rates'!$D$101+F11*'Study Information &amp; rates'!$F$101)),0,(C11*'Study Information &amp; rates'!$B$101+D11*'Study Information &amp; rates'!$C$101+E11*'Study Information &amp; rates'!$D$101+F11*'Study Information &amp; rates'!$F$101))</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428"/>
      <c r="AR11" s="440">
        <f>(SUM(H11:AP11))*G11</f>
        <v>0</v>
      </c>
      <c r="AS11" s="440">
        <f>IF('Study Information &amp; rates'!$B$44="Yes",AR11*0.287,0)</f>
        <v>0</v>
      </c>
      <c r="AT11" s="440">
        <f>IF('Study Information &amp; rates'!$B$44="No",0,AR11*0.05)</f>
        <v>0</v>
      </c>
      <c r="AU11" s="440">
        <f>AR11+AS11+AT11</f>
        <v>0</v>
      </c>
      <c r="AV11" s="440">
        <f>'Set-up and other costs'!$B$18*AU11</f>
        <v>0</v>
      </c>
      <c r="BC11" s="2">
        <f>H11*G11</f>
        <v>0</v>
      </c>
      <c r="BD11" s="2">
        <f>IF('Study Information &amp; rates'!$B$44='Study Information &amp; rates'!$V$12,BC11*0.287,0)</f>
        <v>0</v>
      </c>
      <c r="BE11" s="2">
        <f>IF((Reconciliation!$C$15)&gt;5000,BC11*0.05,0)</f>
        <v>0</v>
      </c>
      <c r="BF11" s="2">
        <f>BC11+BD11+BE11</f>
        <v>0</v>
      </c>
      <c r="BG11" s="6" t="b">
        <f>IF($B11='Look Up'!$A$5,$H11)</f>
        <v>0</v>
      </c>
      <c r="BH11" s="6" t="b">
        <f>IF($B11='Look Up'!$A$6,$H11)</f>
        <v>0</v>
      </c>
      <c r="BI11" s="6" t="b">
        <f>IF($B11='Look Up'!$A$7,$H11)</f>
        <v>0</v>
      </c>
      <c r="BJ11" s="6" t="b">
        <f>IF($B11='Look Up'!$A$7,$H11)</f>
        <v>0</v>
      </c>
      <c r="BL11" s="6">
        <f>IF($B11='Look Up'!$A$6,$C11*$H11,0)+IF($B11='Look Up'!$A$7,$C11*$H11,0)</f>
        <v>0</v>
      </c>
      <c r="BM11" s="6">
        <f>IF($B11='Look Up'!$A$6,$D11*$H11,0)+IF($B11='Look Up'!$A$7,$D11*$H11,0)</f>
        <v>0</v>
      </c>
      <c r="BN11" s="6">
        <f>IF($B11='Look Up'!$A$6,$E11*$H11,0)+IF($B11='Look Up'!$A$7,$E11*$H11,0)</f>
        <v>0</v>
      </c>
      <c r="BO11" s="6">
        <f>IF($B11='Look Up'!$A$6,$F11*$H11,0)+IF($B11='Look Up'!$A$7,$F11*$H11,0)</f>
        <v>0</v>
      </c>
      <c r="BQ11" s="6">
        <f>$C11*'Study Information &amp; rates'!$B$101*IF('Study Information &amp; rates'!$B$44='Study Information &amp; rates'!$V$12,(SUM($H11:$AP11)*1.287),(SUM($H11:$AP11)))</f>
        <v>0</v>
      </c>
      <c r="BR11" s="6">
        <f>$D11*'Study Information &amp; rates'!$C$101*IF('Study Information &amp; rates'!$B$44='Study Information &amp; rates'!$V$12,(SUM($H11:$AP11)*1.287),(SUM($H11:$AP11)))</f>
        <v>0</v>
      </c>
      <c r="BS11" s="6">
        <f>$E11*'Study Information &amp; rates'!$D$101*IF('Study Information &amp; rates'!$B$44='Study Information &amp; rates'!$V$12,(SUM($H11:$AP11)*1.287),(SUM($H11:$AP11)))</f>
        <v>0</v>
      </c>
      <c r="BT11" s="6">
        <f>$F11*'Study Information &amp; rates'!$F$101*IF('Study Information &amp; rates'!$B$44='Study Information &amp; rates'!$V$12,(SUM($H11:$AP11)*1.287),(SUM($H11:$AP11)))</f>
        <v>0</v>
      </c>
    </row>
    <row r="12" spans="1:72">
      <c r="A12" s="8"/>
      <c r="B12" s="8"/>
      <c r="C12" s="326"/>
      <c r="D12" s="326"/>
      <c r="E12" s="326"/>
      <c r="F12" s="326"/>
      <c r="G12" s="532">
        <f>IF(ISERROR((C12*'Study Information &amp; rates'!$B$101+D12*'Study Information &amp; rates'!$C$101+E12*'Study Information &amp; rates'!$D$101+F12*'Study Information &amp; rates'!$F$101)),0,(C12*'Study Information &amp; rates'!$B$101+D12*'Study Information &amp; rates'!$C$101+E12*'Study Information &amp; rates'!$D$101+F12*'Study Information &amp; rates'!$F$101))</f>
        <v>0</v>
      </c>
      <c r="H12" s="8"/>
      <c r="I12" s="44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428"/>
      <c r="AR12" s="440">
        <f>(SUM(H12:AP12))*G12</f>
        <v>0</v>
      </c>
      <c r="AS12" s="440">
        <f>IF('Study Information &amp; rates'!$B$44="Yes",AR12*0.287,0)</f>
        <v>0</v>
      </c>
      <c r="AT12" s="440">
        <f>IF('Study Information &amp; rates'!$B$44="No",0,AR12*0.05)</f>
        <v>0</v>
      </c>
      <c r="AU12" s="440">
        <f>AR12+AS12+AT12</f>
        <v>0</v>
      </c>
      <c r="AV12" s="440">
        <f>'Set-up and other costs'!$B$18*AU12</f>
        <v>0</v>
      </c>
      <c r="BC12" s="2">
        <f>H12*G12</f>
        <v>0</v>
      </c>
      <c r="BD12" s="2">
        <f>IF('Study Information &amp; rates'!$B$44='Study Information &amp; rates'!$V$12,BC12*0.287,0)</f>
        <v>0</v>
      </c>
      <c r="BE12" s="2">
        <f>IF((Reconciliation!$C$15)&gt;5000,BC12*0.05,0)</f>
        <v>0</v>
      </c>
      <c r="BF12" s="2">
        <f>BC12+BD12+BE12</f>
        <v>0</v>
      </c>
      <c r="BG12" s="6" t="b">
        <f>IF($B12='Look Up'!$A$5,$H12)</f>
        <v>0</v>
      </c>
      <c r="BH12" s="6" t="b">
        <f>IF($B12='Look Up'!$A$6,$H12)</f>
        <v>0</v>
      </c>
      <c r="BI12" s="6" t="b">
        <f>IF($B12='Look Up'!$A$7,$H12)</f>
        <v>0</v>
      </c>
      <c r="BJ12" s="6" t="b">
        <f>IF($B12='Look Up'!$A$7,$H12)</f>
        <v>0</v>
      </c>
      <c r="BL12" s="6">
        <f>IF($B12='Look Up'!$A$6,$C12*$H12,0)+IF($B12='Look Up'!$A$7,$C12*$H12,0)</f>
        <v>0</v>
      </c>
      <c r="BM12" s="6">
        <f>IF($B12='Look Up'!$A$6,$D12*$H12,0)+IF($B12='Look Up'!$A$7,$D12*$H12,0)</f>
        <v>0</v>
      </c>
      <c r="BN12" s="6">
        <f>IF($B12='Look Up'!$A$6,$E12*$H12,0)+IF($B12='Look Up'!$A$7,$E12*$H12,0)</f>
        <v>0</v>
      </c>
      <c r="BO12" s="6">
        <f>IF($B12='Look Up'!$A$6,$F12*$H12,0)+IF($B12='Look Up'!$A$7,$F12*$H12,0)</f>
        <v>0</v>
      </c>
      <c r="BQ12" s="6">
        <f>$C12*'Study Information &amp; rates'!$B$101*IF('Study Information &amp; rates'!$B$44='Study Information &amp; rates'!$V$12,(SUM($H12:$AP12)*1.287),(SUM($H12:$AP12)))</f>
        <v>0</v>
      </c>
      <c r="BR12" s="6">
        <f>$D12*'Study Information &amp; rates'!$C$101*IF('Study Information &amp; rates'!$B$44='Study Information &amp; rates'!$V$12,(SUM($H12:$AP12)*1.287),(SUM($H12:$AP12)))</f>
        <v>0</v>
      </c>
      <c r="BS12" s="6">
        <f>$E12*'Study Information &amp; rates'!$D$101*IF('Study Information &amp; rates'!$B$44='Study Information &amp; rates'!$V$12,(SUM($H12:$AP12)*1.287),(SUM($H12:$AP12)))</f>
        <v>0</v>
      </c>
      <c r="BT12" s="6">
        <f>$F12*'Study Information &amp; rates'!$F$101*IF('Study Information &amp; rates'!$B$44='Study Information &amp; rates'!$V$12,(SUM($H12:$AP12)*1.287),(SUM($H12:$AP12)))</f>
        <v>0</v>
      </c>
    </row>
    <row r="13" spans="1:72">
      <c r="A13" s="8"/>
      <c r="B13" s="8"/>
      <c r="C13" s="326"/>
      <c r="D13" s="326"/>
      <c r="E13" s="326"/>
      <c r="F13" s="326"/>
      <c r="G13" s="532">
        <f>IF(ISERROR((C13*'Study Information &amp; rates'!$B$101+D13*'Study Information &amp; rates'!$C$101+E13*'Study Information &amp; rates'!$D$101+F13*'Study Information &amp; rates'!$F$101)),0,(C13*'Study Information &amp; rates'!$B$101+D13*'Study Information &amp; rates'!$C$101+E13*'Study Information &amp; rates'!$D$101+F13*'Study Information &amp; rates'!$F$101))</f>
        <v>0</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428"/>
      <c r="AR13" s="440">
        <f>(SUM(H13:AP13))*G13</f>
        <v>0</v>
      </c>
      <c r="AS13" s="440">
        <f>IF('Study Information &amp; rates'!$B$44="Yes",AR13*0.287,0)</f>
        <v>0</v>
      </c>
      <c r="AT13" s="440">
        <f>IF('Study Information &amp; rates'!$B$44="No",0,AR13*0.05)</f>
        <v>0</v>
      </c>
      <c r="AU13" s="440">
        <f>AR13+AS13+AT13</f>
        <v>0</v>
      </c>
      <c r="AV13" s="440">
        <f>'Set-up and other costs'!$B$18*AU13</f>
        <v>0</v>
      </c>
      <c r="BC13" s="2">
        <f>H13*G13</f>
        <v>0</v>
      </c>
      <c r="BD13" s="2">
        <f>IF('Study Information &amp; rates'!$B$44='Study Information &amp; rates'!$V$12,BC13*0.287,0)</f>
        <v>0</v>
      </c>
      <c r="BE13" s="2">
        <f>IF((Reconciliation!$C$15)&gt;5000,BC13*0.05,0)</f>
        <v>0</v>
      </c>
      <c r="BF13" s="2">
        <f>BC13+BD13+BE13</f>
        <v>0</v>
      </c>
      <c r="BG13" s="6" t="b">
        <f>IF($B13='Look Up'!$A$5,$H13)</f>
        <v>0</v>
      </c>
      <c r="BH13" s="6" t="b">
        <f>IF($B13='Look Up'!$A$6,$H13)</f>
        <v>0</v>
      </c>
      <c r="BI13" s="6" t="b">
        <f>IF($B13='Look Up'!$A$7,$H13)</f>
        <v>0</v>
      </c>
      <c r="BJ13" s="6" t="b">
        <f>IF($B13='Look Up'!$A$7,$H13)</f>
        <v>0</v>
      </c>
      <c r="BL13" s="6">
        <f>IF($B13='Look Up'!$A$6,$C13*$H13,0)+IF($B13='Look Up'!$A$7,$C13*$H13,0)</f>
        <v>0</v>
      </c>
      <c r="BM13" s="6">
        <f>IF($B13='Look Up'!$A$6,$D13*$H13,0)+IF($B13='Look Up'!$A$7,$D13*$H13,0)</f>
        <v>0</v>
      </c>
      <c r="BN13" s="6">
        <f>IF($B13='Look Up'!$A$6,$E13*$H13,0)+IF($B13='Look Up'!$A$7,$E13*$H13,0)</f>
        <v>0</v>
      </c>
      <c r="BO13" s="6">
        <f>IF($B13='Look Up'!$A$6,$F13*$H13,0)+IF($B13='Look Up'!$A$7,$F13*$H13,0)</f>
        <v>0</v>
      </c>
      <c r="BQ13" s="6">
        <f>$C13*'Study Information &amp; rates'!$B$101*IF('Study Information &amp; rates'!$B$44='Study Information &amp; rates'!$V$12,(SUM($H13:$AP13)*1.287),(SUM($H13:$AP13)))</f>
        <v>0</v>
      </c>
      <c r="BR13" s="6">
        <f>$D13*'Study Information &amp; rates'!$C$101*IF('Study Information &amp; rates'!$B$44='Study Information &amp; rates'!$V$12,(SUM($H13:$AP13)*1.287),(SUM($H13:$AP13)))</f>
        <v>0</v>
      </c>
      <c r="BS13" s="6">
        <f>$E13*'Study Information &amp; rates'!$D$101*IF('Study Information &amp; rates'!$B$44='Study Information &amp; rates'!$V$12,(SUM($H13:$AP13)*1.287),(SUM($H13:$AP13)))</f>
        <v>0</v>
      </c>
      <c r="BT13" s="6">
        <f>$F13*'Study Information &amp; rates'!$F$101*IF('Study Information &amp; rates'!$B$44='Study Information &amp; rates'!$V$12,(SUM($H13:$AP13)*1.287),(SUM($H13:$AP13)))</f>
        <v>0</v>
      </c>
    </row>
    <row r="14" spans="1:72">
      <c r="A14" s="8"/>
      <c r="B14" s="8"/>
      <c r="C14" s="326"/>
      <c r="D14" s="326"/>
      <c r="E14" s="326"/>
      <c r="F14" s="326"/>
      <c r="G14" s="532">
        <f>IF(ISERROR((C14*'Study Information &amp; rates'!$B$101+D14*'Study Information &amp; rates'!$C$101+E14*'Study Information &amp; rates'!$D$101+F14*'Study Information &amp; rates'!$F$101)),0,(C14*'Study Information &amp; rates'!$B$101+D14*'Study Information &amp; rates'!$C$101+E14*'Study Information &amp; rates'!$D$101+F14*'Study Information &amp; rates'!$F$101))</f>
        <v>0</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428"/>
      <c r="AR14" s="440">
        <f>(SUM(H14:AP14))*G14</f>
        <v>0</v>
      </c>
      <c r="AS14" s="440">
        <f>IF('Study Information &amp; rates'!$B$44="Yes",AR14*0.287,0)</f>
        <v>0</v>
      </c>
      <c r="AT14" s="440">
        <f>IF('Study Information &amp; rates'!$B$44="No",0,AR14*0.05)</f>
        <v>0</v>
      </c>
      <c r="AU14" s="440">
        <f>AR14+AS14+AT14</f>
        <v>0</v>
      </c>
      <c r="AV14" s="440">
        <f>'Set-up and other costs'!$B$18*AU14</f>
        <v>0</v>
      </c>
      <c r="BC14" s="2">
        <f>H14*G14</f>
        <v>0</v>
      </c>
      <c r="BD14" s="2">
        <f>IF('Study Information &amp; rates'!$B$44='Study Information &amp; rates'!$V$12,BC14*0.287,0)</f>
        <v>0</v>
      </c>
      <c r="BE14" s="2">
        <f>IF((Reconciliation!$C$15)&gt;5000,BC14*0.05,0)</f>
        <v>0</v>
      </c>
      <c r="BF14" s="2">
        <f>BC14+BD14+BE14</f>
        <v>0</v>
      </c>
      <c r="BG14" s="6" t="b">
        <f>IF($B14='Look Up'!$A$5,$H14)</f>
        <v>0</v>
      </c>
      <c r="BH14" s="6" t="b">
        <f>IF($B14='Look Up'!$A$6,$H14)</f>
        <v>0</v>
      </c>
      <c r="BI14" s="6" t="b">
        <f>IF($B14='Look Up'!$A$7,$H14)</f>
        <v>0</v>
      </c>
      <c r="BJ14" s="6" t="b">
        <f>IF($B14='Look Up'!$A$7,$H14)</f>
        <v>0</v>
      </c>
      <c r="BL14" s="6">
        <f>IF($B14='Look Up'!$A$6,$C14*$H14,0)+IF($B14='Look Up'!$A$7,$C14*$H14,0)</f>
        <v>0</v>
      </c>
      <c r="BM14" s="6">
        <f>IF($B14='Look Up'!$A$6,$D14*$H14,0)+IF($B14='Look Up'!$A$7,$D14*$H14,0)</f>
        <v>0</v>
      </c>
      <c r="BN14" s="6">
        <f>IF($B14='Look Up'!$A$6,$E14*$H14,0)+IF($B14='Look Up'!$A$7,$E14*$H14,0)</f>
        <v>0</v>
      </c>
      <c r="BO14" s="6">
        <f>IF($B14='Look Up'!$A$6,$F14*$H14,0)+IF($B14='Look Up'!$A$7,$F14*$H14,0)</f>
        <v>0</v>
      </c>
      <c r="BQ14" s="6">
        <f>$C14*'Study Information &amp; rates'!$B$101*IF('Study Information &amp; rates'!$B$44='Study Information &amp; rates'!$V$12,(SUM($H14:$AP14)*1.287),(SUM($H14:$AP14)))</f>
        <v>0</v>
      </c>
      <c r="BR14" s="6">
        <f>$D14*'Study Information &amp; rates'!$C$101*IF('Study Information &amp; rates'!$B$44='Study Information &amp; rates'!$V$12,(SUM($H14:$AP14)*1.287),(SUM($H14:$AP14)))</f>
        <v>0</v>
      </c>
      <c r="BS14" s="6">
        <f>$E14*'Study Information &amp; rates'!$D$101*IF('Study Information &amp; rates'!$B$44='Study Information &amp; rates'!$V$12,(SUM($H14:$AP14)*1.287),(SUM($H14:$AP14)))</f>
        <v>0</v>
      </c>
      <c r="BT14" s="6">
        <f>$F14*'Study Information &amp; rates'!$F$101*IF('Study Information &amp; rates'!$B$44='Study Information &amp; rates'!$V$12,(SUM($H14:$AP14)*1.287),(SUM($H14:$AP14)))</f>
        <v>0</v>
      </c>
    </row>
    <row r="15" spans="1:72">
      <c r="A15" s="8"/>
      <c r="B15" s="8"/>
      <c r="C15" s="326"/>
      <c r="D15" s="326"/>
      <c r="E15" s="326"/>
      <c r="F15" s="326"/>
      <c r="G15" s="532">
        <f>IF(ISERROR((C15*'Study Information &amp; rates'!$B$101+D15*'Study Information &amp; rates'!$C$101+E15*'Study Information &amp; rates'!$D$101+F15*'Study Information &amp; rates'!$F$101)),0,(C15*'Study Information &amp; rates'!$B$101+D15*'Study Information &amp; rates'!$C$101+E15*'Study Information &amp; rates'!$D$101+F15*'Study Information &amp; rates'!$F$101))</f>
        <v>0</v>
      </c>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428"/>
      <c r="AR15" s="440">
        <f>(SUM(H15:AP15))*G15</f>
        <v>0</v>
      </c>
      <c r="AS15" s="440">
        <f>IF('Study Information &amp; rates'!$B$44="Yes",AR15*0.287,0)</f>
        <v>0</v>
      </c>
      <c r="AT15" s="440">
        <f>IF('Study Information &amp; rates'!$B$44="No",0,AR15*0.05)</f>
        <v>0</v>
      </c>
      <c r="AU15" s="440">
        <f>AR15+AS15+AT15</f>
        <v>0</v>
      </c>
      <c r="AV15" s="440">
        <f>'Set-up and other costs'!$B$18*AU15</f>
        <v>0</v>
      </c>
      <c r="BC15" s="2">
        <f>H15*G15</f>
        <v>0</v>
      </c>
      <c r="BD15" s="2">
        <f>IF('Study Information &amp; rates'!$B$44='Study Information &amp; rates'!$V$12,BC15*0.287,0)</f>
        <v>0</v>
      </c>
      <c r="BE15" s="2">
        <f>IF((Reconciliation!$C$15)&gt;5000,BC15*0.05,0)</f>
        <v>0</v>
      </c>
      <c r="BF15" s="2">
        <f>BC15+BD15+BE15</f>
        <v>0</v>
      </c>
      <c r="BG15" s="6" t="b">
        <f>IF($B15='Look Up'!$A$5,$H15)</f>
        <v>0</v>
      </c>
      <c r="BH15" s="6" t="b">
        <f>IF($B15='Look Up'!$A$6,$H15)</f>
        <v>0</v>
      </c>
      <c r="BI15" s="6" t="b">
        <f>IF($B15='Look Up'!$A$7,$H15)</f>
        <v>0</v>
      </c>
      <c r="BJ15" s="6" t="b">
        <f>IF($B15='Look Up'!$A$7,$H15)</f>
        <v>0</v>
      </c>
      <c r="BL15" s="6">
        <f>IF($B15='Look Up'!$A$6,$C15*$H15,0)+IF($B15='Look Up'!$A$7,$C15*$H15,0)</f>
        <v>0</v>
      </c>
      <c r="BM15" s="6">
        <f>IF($B15='Look Up'!$A$6,$D15*$H15,0)+IF($B15='Look Up'!$A$7,$D15*$H15,0)</f>
        <v>0</v>
      </c>
      <c r="BN15" s="6">
        <f>IF($B15='Look Up'!$A$6,$E15*$H15,0)+IF($B15='Look Up'!$A$7,$E15*$H15,0)</f>
        <v>0</v>
      </c>
      <c r="BO15" s="6">
        <f>IF($B15='Look Up'!$A$6,$F15*$H15,0)+IF($B15='Look Up'!$A$7,$F15*$H15,0)</f>
        <v>0</v>
      </c>
      <c r="BQ15" s="6">
        <f>$C15*'Study Information &amp; rates'!$B$101*IF('Study Information &amp; rates'!$B$44='Study Information &amp; rates'!$V$12,(SUM($H15:$AP15)*1.287),(SUM($H15:$AP15)))</f>
        <v>0</v>
      </c>
      <c r="BR15" s="6">
        <f>$D15*'Study Information &amp; rates'!$C$101*IF('Study Information &amp; rates'!$B$44='Study Information &amp; rates'!$V$12,(SUM($H15:$AP15)*1.287),(SUM($H15:$AP15)))</f>
        <v>0</v>
      </c>
      <c r="BS15" s="6">
        <f>$E15*'Study Information &amp; rates'!$D$101*IF('Study Information &amp; rates'!$B$44='Study Information &amp; rates'!$V$12,(SUM($H15:$AP15)*1.287),(SUM($H15:$AP15)))</f>
        <v>0</v>
      </c>
      <c r="BT15" s="6">
        <f>$F15*'Study Information &amp; rates'!$F$101*IF('Study Information &amp; rates'!$B$44='Study Information &amp; rates'!$V$12,(SUM($H15:$AP15)*1.287),(SUM($H15:$AP15)))</f>
        <v>0</v>
      </c>
    </row>
    <row r="16" spans="1:72">
      <c r="A16" s="8"/>
      <c r="B16" s="8"/>
      <c r="C16" s="326"/>
      <c r="D16" s="326"/>
      <c r="E16" s="326"/>
      <c r="F16" s="326"/>
      <c r="G16" s="532">
        <f>IF(ISERROR((C16*'Study Information &amp; rates'!$B$101+D16*'Study Information &amp; rates'!$C$101+E16*'Study Information &amp; rates'!$D$101+F16*'Study Information &amp; rates'!$F$101)),0,(C16*'Study Information &amp; rates'!$B$101+D16*'Study Information &amp; rates'!$C$101+E16*'Study Information &amp; rates'!$D$101+F16*'Study Information &amp; rates'!$F$101))</f>
        <v>0</v>
      </c>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428"/>
      <c r="AR16" s="440">
        <f>(SUM(H16:AP16))*G16</f>
        <v>0</v>
      </c>
      <c r="AS16" s="440">
        <f>IF('Study Information &amp; rates'!$B$44="Yes",AR16*0.287,0)</f>
        <v>0</v>
      </c>
      <c r="AT16" s="440">
        <f>IF('Study Information &amp; rates'!$B$44="No",0,AR16*0.05)</f>
        <v>0</v>
      </c>
      <c r="AU16" s="440">
        <f>AR16+AS16+AT16</f>
        <v>0</v>
      </c>
      <c r="AV16" s="440">
        <f>'Set-up and other costs'!$B$18*AU16</f>
        <v>0</v>
      </c>
      <c r="BC16" s="2">
        <f>H16*G16</f>
        <v>0</v>
      </c>
      <c r="BD16" s="2">
        <f>IF('Study Information &amp; rates'!$B$44='Study Information &amp; rates'!$V$12,BC16*0.287,0)</f>
        <v>0</v>
      </c>
      <c r="BE16" s="2">
        <f>IF((Reconciliation!$C$15)&gt;5000,BC16*0.05,0)</f>
        <v>0</v>
      </c>
      <c r="BF16" s="2">
        <f>BC16+BD16+BE16</f>
        <v>0</v>
      </c>
      <c r="BG16" s="6" t="b">
        <f>IF($B16='Look Up'!$A$5,$H16)</f>
        <v>0</v>
      </c>
      <c r="BH16" s="6" t="b">
        <f>IF($B16='Look Up'!$A$6,$H16)</f>
        <v>0</v>
      </c>
      <c r="BI16" s="6" t="b">
        <f>IF($B16='Look Up'!$A$7,$H16)</f>
        <v>0</v>
      </c>
      <c r="BJ16" s="6" t="b">
        <f>IF($B16='Look Up'!$A$7,$H16)</f>
        <v>0</v>
      </c>
      <c r="BL16" s="6">
        <f>IF($B16='Look Up'!$A$6,$C16*$H16,0)+IF($B16='Look Up'!$A$7,$C16*$H16,0)</f>
        <v>0</v>
      </c>
      <c r="BM16" s="6">
        <f>IF($B16='Look Up'!$A$6,$D16*$H16,0)+IF($B16='Look Up'!$A$7,$D16*$H16,0)</f>
        <v>0</v>
      </c>
      <c r="BN16" s="6">
        <f>IF($B16='Look Up'!$A$6,$E16*$H16,0)+IF($B16='Look Up'!$A$7,$E16*$H16,0)</f>
        <v>0</v>
      </c>
      <c r="BO16" s="6">
        <f>IF($B16='Look Up'!$A$6,$F16*$H16,0)+IF($B16='Look Up'!$A$7,$F16*$H16,0)</f>
        <v>0</v>
      </c>
      <c r="BQ16" s="6">
        <f>$C16*'Study Information &amp; rates'!$B$101*IF('Study Information &amp; rates'!$B$44='Study Information &amp; rates'!$V$12,(SUM($H16:$AP16)*1.287),(SUM($H16:$AP16)))</f>
        <v>0</v>
      </c>
      <c r="BR16" s="6">
        <f>$D16*'Study Information &amp; rates'!$C$101*IF('Study Information &amp; rates'!$B$44='Study Information &amp; rates'!$V$12,(SUM($H16:$AP16)*1.287),(SUM($H16:$AP16)))</f>
        <v>0</v>
      </c>
      <c r="BS16" s="6">
        <f>$E16*'Study Information &amp; rates'!$D$101*IF('Study Information &amp; rates'!$B$44='Study Information &amp; rates'!$V$12,(SUM($H16:$AP16)*1.287),(SUM($H16:$AP16)))</f>
        <v>0</v>
      </c>
      <c r="BT16" s="6">
        <f>$F16*'Study Information &amp; rates'!$F$101*IF('Study Information &amp; rates'!$B$44='Study Information &amp; rates'!$V$12,(SUM($H16:$AP16)*1.287),(SUM($H16:$AP16)))</f>
        <v>0</v>
      </c>
    </row>
    <row r="17" spans="1:72">
      <c r="A17" s="8"/>
      <c r="B17" s="8"/>
      <c r="C17" s="326"/>
      <c r="D17" s="326"/>
      <c r="E17" s="326"/>
      <c r="F17" s="326"/>
      <c r="G17" s="532">
        <f>IF(ISERROR((C17*'Study Information &amp; rates'!$B$101+D17*'Study Information &amp; rates'!$C$101+E17*'Study Information &amp; rates'!$D$101+F17*'Study Information &amp; rates'!$F$101)),0,(C17*'Study Information &amp; rates'!$B$101+D17*'Study Information &amp; rates'!$C$101+E17*'Study Information &amp; rates'!$D$101+F17*'Study Information &amp; rates'!$F$101))</f>
        <v>0</v>
      </c>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428"/>
      <c r="AR17" s="440">
        <f>(SUM(H17:AP17))*G17</f>
        <v>0</v>
      </c>
      <c r="AS17" s="440">
        <f>IF('Study Information &amp; rates'!$B$44="Yes",AR17*0.287,0)</f>
        <v>0</v>
      </c>
      <c r="AT17" s="440">
        <f>IF('Study Information &amp; rates'!$B$44="No",0,AR17*0.05)</f>
        <v>0</v>
      </c>
      <c r="AU17" s="440">
        <f>AR17+AS17+AT17</f>
        <v>0</v>
      </c>
      <c r="AV17" s="440">
        <f>'Set-up and other costs'!$B$18*AU17</f>
        <v>0</v>
      </c>
      <c r="BC17" s="2">
        <f>H17*G17</f>
        <v>0</v>
      </c>
      <c r="BD17" s="2">
        <f>IF('Study Information &amp; rates'!$B$44='Study Information &amp; rates'!$V$12,BC17*0.287,0)</f>
        <v>0</v>
      </c>
      <c r="BE17" s="2">
        <f>IF((Reconciliation!$C$15)&gt;5000,BC17*0.05,0)</f>
        <v>0</v>
      </c>
      <c r="BF17" s="2">
        <f>BC17+BD17+BE17</f>
        <v>0</v>
      </c>
      <c r="BG17" s="6" t="b">
        <f>IF($B17='Look Up'!$A$5,$H17)</f>
        <v>0</v>
      </c>
      <c r="BH17" s="6" t="b">
        <f>IF($B17='Look Up'!$A$6,$H17)</f>
        <v>0</v>
      </c>
      <c r="BI17" s="6" t="b">
        <f>IF($B17='Look Up'!$A$7,$H17)</f>
        <v>0</v>
      </c>
      <c r="BJ17" s="6" t="b">
        <f>IF($B17='Look Up'!$A$7,$H17)</f>
        <v>0</v>
      </c>
      <c r="BL17" s="6">
        <f>IF($B17='Look Up'!$A$6,$C17*$H17,0)+IF($B17='Look Up'!$A$7,$C17*$H17,0)</f>
        <v>0</v>
      </c>
      <c r="BM17" s="6">
        <f>IF($B17='Look Up'!$A$6,$D17*$H17,0)+IF($B17='Look Up'!$A$7,$D17*$H17,0)</f>
        <v>0</v>
      </c>
      <c r="BN17" s="6">
        <f>IF($B17='Look Up'!$A$6,$E17*$H17,0)+IF($B17='Look Up'!$A$7,$E17*$H17,0)</f>
        <v>0</v>
      </c>
      <c r="BO17" s="6">
        <f>IF($B17='Look Up'!$A$6,$F17*$H17,0)+IF($B17='Look Up'!$A$7,$F17*$H17,0)</f>
        <v>0</v>
      </c>
      <c r="BQ17" s="6">
        <f>$C17*'Study Information &amp; rates'!$B$101*IF('Study Information &amp; rates'!$B$44='Study Information &amp; rates'!$V$12,(SUM($H17:$AP17)*1.287),(SUM($H17:$AP17)))</f>
        <v>0</v>
      </c>
      <c r="BR17" s="6">
        <f>$D17*'Study Information &amp; rates'!$C$101*IF('Study Information &amp; rates'!$B$44='Study Information &amp; rates'!$V$12,(SUM($H17:$AP17)*1.287),(SUM($H17:$AP17)))</f>
        <v>0</v>
      </c>
      <c r="BS17" s="6">
        <f>$E17*'Study Information &amp; rates'!$D$101*IF('Study Information &amp; rates'!$B$44='Study Information &amp; rates'!$V$12,(SUM($H17:$AP17)*1.287),(SUM($H17:$AP17)))</f>
        <v>0</v>
      </c>
      <c r="BT17" s="6">
        <f>$F17*'Study Information &amp; rates'!$F$101*IF('Study Information &amp; rates'!$B$44='Study Information &amp; rates'!$V$12,(SUM($H17:$AP17)*1.287),(SUM($H17:$AP17)))</f>
        <v>0</v>
      </c>
    </row>
    <row r="18" spans="1:72">
      <c r="A18" s="8"/>
      <c r="B18" s="8"/>
      <c r="C18" s="326"/>
      <c r="D18" s="326"/>
      <c r="E18" s="326"/>
      <c r="F18" s="326"/>
      <c r="G18" s="532">
        <f>IF(ISERROR((C18*'Study Information &amp; rates'!$B$101+D18*'Study Information &amp; rates'!$C$101+E18*'Study Information &amp; rates'!$D$101+F18*'Study Information &amp; rates'!$F$101)),0,(C18*'Study Information &amp; rates'!$B$101+D18*'Study Information &amp; rates'!$C$101+E18*'Study Information &amp; rates'!$D$101+F18*'Study Information &amp; rates'!$F$101))</f>
        <v>0</v>
      </c>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428"/>
      <c r="AR18" s="440">
        <f>(SUM(H18:AP18))*G18</f>
        <v>0</v>
      </c>
      <c r="AS18" s="440">
        <f>IF('Study Information &amp; rates'!$B$44="Yes",AR18*0.287,0)</f>
        <v>0</v>
      </c>
      <c r="AT18" s="440">
        <f>IF('Study Information &amp; rates'!$B$44="No",0,AR18*0.05)</f>
        <v>0</v>
      </c>
      <c r="AU18" s="440">
        <f>AR18+AS18+AT18</f>
        <v>0</v>
      </c>
      <c r="AV18" s="440">
        <f>'Set-up and other costs'!$B$18*AU18</f>
        <v>0</v>
      </c>
      <c r="BC18" s="2">
        <f>H18*G18</f>
        <v>0</v>
      </c>
      <c r="BD18" s="2">
        <f>IF('Study Information &amp; rates'!$B$44='Study Information &amp; rates'!$V$12,BC18*0.287,0)</f>
        <v>0</v>
      </c>
      <c r="BE18" s="2">
        <f>IF((Reconciliation!$C$15)&gt;5000,BC18*0.05,0)</f>
        <v>0</v>
      </c>
      <c r="BF18" s="2">
        <f>BC18+BD18+BE18</f>
        <v>0</v>
      </c>
      <c r="BG18" s="6" t="b">
        <f>IF($B18='Look Up'!$A$5,$H18)</f>
        <v>0</v>
      </c>
      <c r="BH18" s="6" t="b">
        <f>IF($B18='Look Up'!$A$6,$H18)</f>
        <v>0</v>
      </c>
      <c r="BI18" s="6" t="b">
        <f>IF($B18='Look Up'!$A$7,$H18)</f>
        <v>0</v>
      </c>
      <c r="BJ18" s="6" t="b">
        <f>IF($B18='Look Up'!$A$7,$H18)</f>
        <v>0</v>
      </c>
      <c r="BL18" s="6">
        <f>IF($B18='Look Up'!$A$6,$C18*$H18,0)+IF($B18='Look Up'!$A$7,$C18*$H18,0)</f>
        <v>0</v>
      </c>
      <c r="BM18" s="6">
        <f>IF($B18='Look Up'!$A$6,$D18*$H18,0)+IF($B18='Look Up'!$A$7,$D18*$H18,0)</f>
        <v>0</v>
      </c>
      <c r="BN18" s="6">
        <f>IF($B18='Look Up'!$A$6,$E18*$H18,0)+IF($B18='Look Up'!$A$7,$E18*$H18,0)</f>
        <v>0</v>
      </c>
      <c r="BO18" s="6">
        <f>IF($B18='Look Up'!$A$6,$F18*$H18,0)+IF($B18='Look Up'!$A$7,$F18*$H18,0)</f>
        <v>0</v>
      </c>
      <c r="BQ18" s="6">
        <f>$C18*'Study Information &amp; rates'!$B$101*IF('Study Information &amp; rates'!$B$44='Study Information &amp; rates'!$V$12,(SUM($H18:$AP18)*1.287),(SUM($H18:$AP18)))</f>
        <v>0</v>
      </c>
      <c r="BR18" s="6">
        <f>$D18*'Study Information &amp; rates'!$C$101*IF('Study Information &amp; rates'!$B$44='Study Information &amp; rates'!$V$12,(SUM($H18:$AP18)*1.287),(SUM($H18:$AP18)))</f>
        <v>0</v>
      </c>
      <c r="BS18" s="6">
        <f>$E18*'Study Information &amp; rates'!$D$101*IF('Study Information &amp; rates'!$B$44='Study Information &amp; rates'!$V$12,(SUM($H18:$AP18)*1.287),(SUM($H18:$AP18)))</f>
        <v>0</v>
      </c>
      <c r="BT18" s="6">
        <f>$F18*'Study Information &amp; rates'!$F$101*IF('Study Information &amp; rates'!$B$44='Study Information &amp; rates'!$V$12,(SUM($H18:$AP18)*1.287),(SUM($H18:$AP18)))</f>
        <v>0</v>
      </c>
    </row>
    <row r="19" spans="1:72">
      <c r="A19" s="8"/>
      <c r="B19" s="8"/>
      <c r="C19" s="326"/>
      <c r="D19" s="326"/>
      <c r="E19" s="326"/>
      <c r="F19" s="326"/>
      <c r="G19" s="532">
        <f>IF(ISERROR((C19*'Study Information &amp; rates'!$B$101+D19*'Study Information &amp; rates'!$C$101+E19*'Study Information &amp; rates'!$D$101+F19*'Study Information &amp; rates'!$F$101)),0,(C19*'Study Information &amp; rates'!$B$101+D19*'Study Information &amp; rates'!$C$101+E19*'Study Information &amp; rates'!$D$101+F19*'Study Information &amp; rates'!$F$101))</f>
        <v>0</v>
      </c>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428"/>
      <c r="AR19" s="440">
        <f>(SUM(H19:AP19))*G19</f>
        <v>0</v>
      </c>
      <c r="AS19" s="440">
        <f>IF('Study Information &amp; rates'!$B$44="Yes",AR19*0.287,0)</f>
        <v>0</v>
      </c>
      <c r="AT19" s="440">
        <f>IF('Study Information &amp; rates'!$B$44="No",0,AR19*0.05)</f>
        <v>0</v>
      </c>
      <c r="AU19" s="440">
        <f>AR19+AS19+AT19</f>
        <v>0</v>
      </c>
      <c r="AV19" s="440">
        <f>'Set-up and other costs'!$B$18*AU19</f>
        <v>0</v>
      </c>
      <c r="BC19" s="2">
        <f>H19*G19</f>
        <v>0</v>
      </c>
      <c r="BD19" s="2">
        <f>IF('Study Information &amp; rates'!$B$44='Study Information &amp; rates'!$V$12,BC19*0.287,0)</f>
        <v>0</v>
      </c>
      <c r="BE19" s="2">
        <f>IF((Reconciliation!$C$15)&gt;5000,BC19*0.05,0)</f>
        <v>0</v>
      </c>
      <c r="BF19" s="2">
        <f>BC19+BD19+BE19</f>
        <v>0</v>
      </c>
      <c r="BG19" s="6" t="b">
        <f>IF($B19='Look Up'!$A$5,$H19)</f>
        <v>0</v>
      </c>
      <c r="BH19" s="6" t="b">
        <f>IF($B19='Look Up'!$A$6,$H19)</f>
        <v>0</v>
      </c>
      <c r="BI19" s="6" t="b">
        <f>IF($B19='Look Up'!$A$7,$H19)</f>
        <v>0</v>
      </c>
      <c r="BJ19" s="6" t="b">
        <f>IF($B19='Look Up'!$A$7,$H19)</f>
        <v>0</v>
      </c>
      <c r="BL19" s="6">
        <f>IF($B19='Look Up'!$A$6,$C19*$H19,0)+IF($B19='Look Up'!$A$7,$C19*$H19,0)</f>
        <v>0</v>
      </c>
      <c r="BM19" s="6">
        <f>IF($B19='Look Up'!$A$6,$D19*$H19,0)+IF($B19='Look Up'!$A$7,$D19*$H19,0)</f>
        <v>0</v>
      </c>
      <c r="BN19" s="6">
        <f>IF($B19='Look Up'!$A$6,$E19*$H19,0)+IF($B19='Look Up'!$A$7,$E19*$H19,0)</f>
        <v>0</v>
      </c>
      <c r="BO19" s="6">
        <f>IF($B19='Look Up'!$A$6,$F19*$H19,0)+IF($B19='Look Up'!$A$7,$F19*$H19,0)</f>
        <v>0</v>
      </c>
      <c r="BQ19" s="6">
        <f>$C19*'Study Information &amp; rates'!$B$101*IF('Study Information &amp; rates'!$B$44='Study Information &amp; rates'!$V$12,(SUM($H19:$AP19)*1.287),(SUM($H19:$AP19)))</f>
        <v>0</v>
      </c>
      <c r="BR19" s="6">
        <f>$D19*'Study Information &amp; rates'!$C$101*IF('Study Information &amp; rates'!$B$44='Study Information &amp; rates'!$V$12,(SUM($H19:$AP19)*1.287),(SUM($H19:$AP19)))</f>
        <v>0</v>
      </c>
      <c r="BS19" s="6">
        <f>$E19*'Study Information &amp; rates'!$D$101*IF('Study Information &amp; rates'!$B$44='Study Information &amp; rates'!$V$12,(SUM($H19:$AP19)*1.287),(SUM($H19:$AP19)))</f>
        <v>0</v>
      </c>
      <c r="BT19" s="6">
        <f>$F19*'Study Information &amp; rates'!$F$101*IF('Study Information &amp; rates'!$B$44='Study Information &amp; rates'!$V$12,(SUM($H19:$AP19)*1.287),(SUM($H19:$AP19)))</f>
        <v>0</v>
      </c>
    </row>
    <row r="20" spans="1:72">
      <c r="A20" s="8"/>
      <c r="B20" s="8"/>
      <c r="C20" s="326"/>
      <c r="D20" s="326"/>
      <c r="E20" s="326"/>
      <c r="F20" s="326"/>
      <c r="G20" s="532">
        <f>IF(ISERROR((C20*'Study Information &amp; rates'!$B$101+D20*'Study Information &amp; rates'!$C$101+E20*'Study Information &amp; rates'!$D$101+F20*'Study Information &amp; rates'!$F$101)),0,(C20*'Study Information &amp; rates'!$B$101+D20*'Study Information &amp; rates'!$C$101+E20*'Study Information &amp; rates'!$D$101+F20*'Study Information &amp; rates'!$F$101))</f>
        <v>0</v>
      </c>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428"/>
      <c r="AR20" s="440">
        <f>(SUM(H20:AP20))*G20</f>
        <v>0</v>
      </c>
      <c r="AS20" s="440">
        <f>IF('Study Information &amp; rates'!$B$44="Yes",AR20*0.287,0)</f>
        <v>0</v>
      </c>
      <c r="AT20" s="440">
        <f>IF('Study Information &amp; rates'!$B$44="No",0,AR20*0.05)</f>
        <v>0</v>
      </c>
      <c r="AU20" s="440">
        <f>AR20+AS20+AT20</f>
        <v>0</v>
      </c>
      <c r="AV20" s="440">
        <f>'Set-up and other costs'!$B$18*AU20</f>
        <v>0</v>
      </c>
      <c r="BC20" s="2">
        <f>H20*G20</f>
        <v>0</v>
      </c>
      <c r="BD20" s="2">
        <f>IF('Study Information &amp; rates'!$B$44='Study Information &amp; rates'!$V$12,BC20*0.287,0)</f>
        <v>0</v>
      </c>
      <c r="BE20" s="2">
        <f>IF((Reconciliation!$C$15)&gt;5000,BC20*0.05,0)</f>
        <v>0</v>
      </c>
      <c r="BF20" s="2">
        <f>BC20+BD20+BE20</f>
        <v>0</v>
      </c>
      <c r="BG20" s="6" t="b">
        <f>IF($B20='Look Up'!$A$5,$H20)</f>
        <v>0</v>
      </c>
      <c r="BH20" s="6" t="b">
        <f>IF($B20='Look Up'!$A$6,$H20)</f>
        <v>0</v>
      </c>
      <c r="BI20" s="6" t="b">
        <f>IF($B20='Look Up'!$A$7,$H20)</f>
        <v>0</v>
      </c>
      <c r="BJ20" s="6" t="b">
        <f>IF($B20='Look Up'!$A$7,$H20)</f>
        <v>0</v>
      </c>
      <c r="BL20" s="6">
        <f>IF($B20='Look Up'!$A$6,$C20*$H20,0)+IF($B20='Look Up'!$A$7,$C20*$H20,0)</f>
        <v>0</v>
      </c>
      <c r="BM20" s="6">
        <f>IF($B20='Look Up'!$A$6,$D20*$H20,0)+IF($B20='Look Up'!$A$7,$D20*$H20,0)</f>
        <v>0</v>
      </c>
      <c r="BN20" s="6">
        <f>IF($B20='Look Up'!$A$6,$E20*$H20,0)+IF($B20='Look Up'!$A$7,$E20*$H20,0)</f>
        <v>0</v>
      </c>
      <c r="BO20" s="6">
        <f>IF($B20='Look Up'!$A$6,$F20*$H20,0)+IF($B20='Look Up'!$A$7,$F20*$H20,0)</f>
        <v>0</v>
      </c>
      <c r="BQ20" s="6">
        <f>$C20*'Study Information &amp; rates'!$B$101*IF('Study Information &amp; rates'!$B$44='Study Information &amp; rates'!$V$12,(SUM($H20:$AP20)*1.287),(SUM($H20:$AP20)))</f>
        <v>0</v>
      </c>
      <c r="BR20" s="6">
        <f>$D20*'Study Information &amp; rates'!$C$101*IF('Study Information &amp; rates'!$B$44='Study Information &amp; rates'!$V$12,(SUM($H20:$AP20)*1.287),(SUM($H20:$AP20)))</f>
        <v>0</v>
      </c>
      <c r="BS20" s="6">
        <f>$E20*'Study Information &amp; rates'!$D$101*IF('Study Information &amp; rates'!$B$44='Study Information &amp; rates'!$V$12,(SUM($H20:$AP20)*1.287),(SUM($H20:$AP20)))</f>
        <v>0</v>
      </c>
      <c r="BT20" s="6">
        <f>$F20*'Study Information &amp; rates'!$F$101*IF('Study Information &amp; rates'!$B$44='Study Information &amp; rates'!$V$12,(SUM($H20:$AP20)*1.287),(SUM($H20:$AP20)))</f>
        <v>0</v>
      </c>
    </row>
    <row r="21" spans="1:72">
      <c r="A21" s="8"/>
      <c r="B21" s="8"/>
      <c r="C21" s="326"/>
      <c r="D21" s="326"/>
      <c r="E21" s="326"/>
      <c r="F21" s="326"/>
      <c r="G21" s="532">
        <f>IF(ISERROR((C21*'Study Information &amp; rates'!$B$101+D21*'Study Information &amp; rates'!$C$101+E21*'Study Information &amp; rates'!$D$101+F21*'Study Information &amp; rates'!$F$101)),0,(C21*'Study Information &amp; rates'!$B$101+D21*'Study Information &amp; rates'!$C$101+E21*'Study Information &amp; rates'!$D$101+F21*'Study Information &amp; rates'!$F$101))</f>
        <v>0</v>
      </c>
      <c r="H21" s="327"/>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428"/>
      <c r="AR21" s="440">
        <f>(SUM(H21:AP21))*G21</f>
        <v>0</v>
      </c>
      <c r="AS21" s="440">
        <f>IF('Study Information &amp; rates'!$B$44="Yes",AR21*0.287,0)</f>
        <v>0</v>
      </c>
      <c r="AT21" s="440">
        <f>IF('Study Information &amp; rates'!$B$44="No",0,AR21*0.05)</f>
        <v>0</v>
      </c>
      <c r="AU21" s="440">
        <f>AR21+AS21+AT21</f>
        <v>0</v>
      </c>
      <c r="AV21" s="440">
        <f>'Set-up and other costs'!$B$18*AU21</f>
        <v>0</v>
      </c>
      <c r="BC21" s="2">
        <f>H21*G21</f>
        <v>0</v>
      </c>
      <c r="BD21" s="2">
        <f>IF('Study Information &amp; rates'!$B$44='Study Information &amp; rates'!$V$12,BC21*0.287,0)</f>
        <v>0</v>
      </c>
      <c r="BE21" s="2">
        <f>IF((Reconciliation!$C$15)&gt;5000,BC21*0.05,0)</f>
        <v>0</v>
      </c>
      <c r="BF21" s="2">
        <f>BC21+BD21+BE21</f>
        <v>0</v>
      </c>
      <c r="BG21" s="6" t="b">
        <f>IF($B21='Look Up'!$A$5,$H21)</f>
        <v>0</v>
      </c>
      <c r="BH21" s="6" t="b">
        <f>IF($B21='Look Up'!$A$6,$H21)</f>
        <v>0</v>
      </c>
      <c r="BI21" s="6" t="b">
        <f>IF($B21='Look Up'!$A$7,$H21)</f>
        <v>0</v>
      </c>
      <c r="BJ21" s="6" t="b">
        <f>IF($B21='Look Up'!$A$7,$H21)</f>
        <v>0</v>
      </c>
      <c r="BL21" s="6">
        <f>IF($B21='Look Up'!$A$6,$C21*$H21,0)+IF($B21='Look Up'!$A$7,$C21*$H21,0)</f>
        <v>0</v>
      </c>
      <c r="BM21" s="6">
        <f>IF($B21='Look Up'!$A$6,$D21*$H21,0)+IF($B21='Look Up'!$A$7,$D21*$H21,0)</f>
        <v>0</v>
      </c>
      <c r="BN21" s="6">
        <f>IF($B21='Look Up'!$A$6,$E21*$H21,0)+IF($B21='Look Up'!$A$7,$E21*$H21,0)</f>
        <v>0</v>
      </c>
      <c r="BO21" s="6">
        <f>IF($B21='Look Up'!$A$6,$F21*$H21,0)+IF($B21='Look Up'!$A$7,$F21*$H21,0)</f>
        <v>0</v>
      </c>
      <c r="BQ21" s="6">
        <f>$C21*'Study Information &amp; rates'!$B$101*IF('Study Information &amp; rates'!$B$44='Study Information &amp; rates'!$V$12,(SUM($H21:$AP21)*1.287),(SUM($H21:$AP21)))</f>
        <v>0</v>
      </c>
      <c r="BR21" s="6">
        <f>$D21*'Study Information &amp; rates'!$C$101*IF('Study Information &amp; rates'!$B$44='Study Information &amp; rates'!$V$12,(SUM($H21:$AP21)*1.287),(SUM($H21:$AP21)))</f>
        <v>0</v>
      </c>
      <c r="BS21" s="6">
        <f>$E21*'Study Information &amp; rates'!$D$101*IF('Study Information &amp; rates'!$B$44='Study Information &amp; rates'!$V$12,(SUM($H21:$AP21)*1.287),(SUM($H21:$AP21)))</f>
        <v>0</v>
      </c>
      <c r="BT21" s="6">
        <f>$F21*'Study Information &amp; rates'!$F$101*IF('Study Information &amp; rates'!$B$44='Study Information &amp; rates'!$V$12,(SUM($H21:$AP21)*1.287),(SUM($H21:$AP21)))</f>
        <v>0</v>
      </c>
    </row>
    <row r="22" spans="1:72">
      <c r="A22" s="8"/>
      <c r="B22" s="8"/>
      <c r="C22" s="326"/>
      <c r="D22" s="326"/>
      <c r="E22" s="326"/>
      <c r="F22" s="326"/>
      <c r="G22" s="532">
        <f>IF(ISERROR((C22*'Study Information &amp; rates'!$B$101+D22*'Study Information &amp; rates'!$C$101+E22*'Study Information &amp; rates'!$D$101+F22*'Study Information &amp; rates'!$F$101)),0,(C22*'Study Information &amp; rates'!$B$101+D22*'Study Information &amp; rates'!$C$101+E22*'Study Information &amp; rates'!$D$101+F22*'Study Information &amp; rates'!$F$101))</f>
        <v>0</v>
      </c>
      <c r="H22" s="327"/>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428"/>
      <c r="AR22" s="440">
        <f>(SUM(H22:AP22))*G22</f>
        <v>0</v>
      </c>
      <c r="AS22" s="440">
        <f>IF('Study Information &amp; rates'!$B$44="Yes",AR22*0.287,0)</f>
        <v>0</v>
      </c>
      <c r="AT22" s="440">
        <f>IF('Study Information &amp; rates'!$B$44="No",0,AR22*0.05)</f>
        <v>0</v>
      </c>
      <c r="AU22" s="440">
        <f>AR22+AS22+AT22</f>
        <v>0</v>
      </c>
      <c r="AV22" s="440">
        <f>'Set-up and other costs'!$B$18*AU22</f>
        <v>0</v>
      </c>
      <c r="BC22" s="2">
        <f>H22*G22</f>
        <v>0</v>
      </c>
      <c r="BD22" s="2">
        <f>IF('Study Information &amp; rates'!$B$44='Study Information &amp; rates'!$V$12,BC22*0.287,0)</f>
        <v>0</v>
      </c>
      <c r="BE22" s="2">
        <f>IF((Reconciliation!$C$15)&gt;5000,BC22*0.05,0)</f>
        <v>0</v>
      </c>
      <c r="BF22" s="2">
        <f>BC22+BD22+BE22</f>
        <v>0</v>
      </c>
      <c r="BG22" s="6" t="b">
        <f>IF($B22='Look Up'!$A$5,$H22)</f>
        <v>0</v>
      </c>
      <c r="BH22" s="6" t="b">
        <f>IF($B22='Look Up'!$A$6,$H22)</f>
        <v>0</v>
      </c>
      <c r="BI22" s="6" t="b">
        <f>IF($B22='Look Up'!$A$7,$H22)</f>
        <v>0</v>
      </c>
      <c r="BJ22" s="6" t="b">
        <f>IF($B22='Look Up'!$A$7,$H22)</f>
        <v>0</v>
      </c>
      <c r="BL22" s="6">
        <f>IF($B22='Look Up'!$A$6,$C22*$H22,0)+IF($B22='Look Up'!$A$7,$C22*$H22,0)</f>
        <v>0</v>
      </c>
      <c r="BM22" s="6">
        <f>IF($B22='Look Up'!$A$6,$D22*$H22,0)+IF($B22='Look Up'!$A$7,$D22*$H22,0)</f>
        <v>0</v>
      </c>
      <c r="BN22" s="6">
        <f>IF($B22='Look Up'!$A$6,$E22*$H22,0)+IF($B22='Look Up'!$A$7,$E22*$H22,0)</f>
        <v>0</v>
      </c>
      <c r="BO22" s="6">
        <f>IF($B22='Look Up'!$A$6,$F22*$H22,0)+IF($B22='Look Up'!$A$7,$F22*$H22,0)</f>
        <v>0</v>
      </c>
      <c r="BQ22" s="6">
        <f>$C22*'Study Information &amp; rates'!$B$101*IF('Study Information &amp; rates'!$B$44='Study Information &amp; rates'!$V$12,(SUM($H22:$AP22)*1.287),(SUM($H22:$AP22)))</f>
        <v>0</v>
      </c>
      <c r="BR22" s="6">
        <f>$D22*'Study Information &amp; rates'!$C$101*IF('Study Information &amp; rates'!$B$44='Study Information &amp; rates'!$V$12,(SUM($H22:$AP22)*1.287),(SUM($H22:$AP22)))</f>
        <v>0</v>
      </c>
      <c r="BS22" s="6">
        <f>$E22*'Study Information &amp; rates'!$D$101*IF('Study Information &amp; rates'!$B$44='Study Information &amp; rates'!$V$12,(SUM($H22:$AP22)*1.287),(SUM($H22:$AP22)))</f>
        <v>0</v>
      </c>
      <c r="BT22" s="6">
        <f>$F22*'Study Information &amp; rates'!$F$101*IF('Study Information &amp; rates'!$B$44='Study Information &amp; rates'!$V$12,(SUM($H22:$AP22)*1.287),(SUM($H22:$AP22)))</f>
        <v>0</v>
      </c>
    </row>
    <row r="23" spans="1:72">
      <c r="A23" s="8"/>
      <c r="B23" s="8"/>
      <c r="C23" s="326"/>
      <c r="D23" s="326"/>
      <c r="E23" s="326"/>
      <c r="F23" s="326"/>
      <c r="G23" s="532">
        <f>IF(ISERROR((C23*'Study Information &amp; rates'!$B$101+D23*'Study Information &amp; rates'!$C$101+E23*'Study Information &amp; rates'!$D$101+F23*'Study Information &amp; rates'!$F$101)),0,(C23*'Study Information &amp; rates'!$B$101+D23*'Study Information &amp; rates'!$C$101+E23*'Study Information &amp; rates'!$D$101+F23*'Study Information &amp; rates'!$F$101))</f>
        <v>0</v>
      </c>
      <c r="H23" s="327"/>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428"/>
      <c r="AR23" s="440">
        <f>(SUM(H23:AP23))*G23</f>
        <v>0</v>
      </c>
      <c r="AS23" s="440">
        <f>IF('Study Information &amp; rates'!$B$44="Yes",AR23*0.287,0)</f>
        <v>0</v>
      </c>
      <c r="AT23" s="440">
        <f>IF('Study Information &amp; rates'!$B$44="No",0,AR23*0.05)</f>
        <v>0</v>
      </c>
      <c r="AU23" s="440">
        <f>AR23+AS23+AT23</f>
        <v>0</v>
      </c>
      <c r="AV23" s="440">
        <f>'Set-up and other costs'!$B$18*AU23</f>
        <v>0</v>
      </c>
      <c r="BC23" s="2">
        <f>H23*G23</f>
        <v>0</v>
      </c>
      <c r="BD23" s="2">
        <f>IF('Study Information &amp; rates'!$B$44='Study Information &amp; rates'!$V$12,BC23*0.287,0)</f>
        <v>0</v>
      </c>
      <c r="BE23" s="2">
        <f>IF((Reconciliation!$C$15)&gt;5000,BC23*0.05,0)</f>
        <v>0</v>
      </c>
      <c r="BF23" s="2">
        <f>BC23+BD23+BE23</f>
        <v>0</v>
      </c>
      <c r="BG23" s="6" t="b">
        <f>IF($B23='Look Up'!$A$5,$H23)</f>
        <v>0</v>
      </c>
      <c r="BH23" s="6" t="b">
        <f>IF($B23='Look Up'!$A$6,$H23)</f>
        <v>0</v>
      </c>
      <c r="BI23" s="6" t="b">
        <f>IF($B23='Look Up'!$A$7,$H23)</f>
        <v>0</v>
      </c>
      <c r="BJ23" s="6" t="b">
        <f>IF($B23='Look Up'!$A$7,$H23)</f>
        <v>0</v>
      </c>
      <c r="BL23" s="6">
        <f>IF($B23='Look Up'!$A$6,$C23*$H23,0)+IF($B23='Look Up'!$A$7,$C23*$H23,0)</f>
        <v>0</v>
      </c>
      <c r="BM23" s="6">
        <f>IF($B23='Look Up'!$A$6,$D23*$H23,0)+IF($B23='Look Up'!$A$7,$D23*$H23,0)</f>
        <v>0</v>
      </c>
      <c r="BN23" s="6">
        <f>IF($B23='Look Up'!$A$6,$E23*$H23,0)+IF($B23='Look Up'!$A$7,$E23*$H23,0)</f>
        <v>0</v>
      </c>
      <c r="BO23" s="6">
        <f>IF($B23='Look Up'!$A$6,$F23*$H23,0)+IF($B23='Look Up'!$A$7,$F23*$H23,0)</f>
        <v>0</v>
      </c>
      <c r="BQ23" s="6">
        <f>$C23*'Study Information &amp; rates'!$B$101*IF('Study Information &amp; rates'!$B$44='Study Information &amp; rates'!$V$12,(SUM($H23:$AP23)*1.287),(SUM($H23:$AP23)))</f>
        <v>0</v>
      </c>
      <c r="BR23" s="6">
        <f>$D23*'Study Information &amp; rates'!$C$101*IF('Study Information &amp; rates'!$B$44='Study Information &amp; rates'!$V$12,(SUM($H23:$AP23)*1.287),(SUM($H23:$AP23)))</f>
        <v>0</v>
      </c>
      <c r="BS23" s="6">
        <f>$E23*'Study Information &amp; rates'!$D$101*IF('Study Information &amp; rates'!$B$44='Study Information &amp; rates'!$V$12,(SUM($H23:$AP23)*1.287),(SUM($H23:$AP23)))</f>
        <v>0</v>
      </c>
      <c r="BT23" s="6">
        <f>$F23*'Study Information &amp; rates'!$F$101*IF('Study Information &amp; rates'!$B$44='Study Information &amp; rates'!$V$12,(SUM($H23:$AP23)*1.287),(SUM($H23:$AP23)))</f>
        <v>0</v>
      </c>
    </row>
    <row r="24" spans="1:72">
      <c r="A24" s="8"/>
      <c r="B24" s="8"/>
      <c r="C24" s="326"/>
      <c r="D24" s="326"/>
      <c r="E24" s="326"/>
      <c r="F24" s="326"/>
      <c r="G24" s="532">
        <f>IF(ISERROR((C24*'Study Information &amp; rates'!$B$101+D24*'Study Information &amp; rates'!$C$101+E24*'Study Information &amp; rates'!$D$101+F24*'Study Information &amp; rates'!$F$101)),0,(C24*'Study Information &amp; rates'!$B$101+D24*'Study Information &amp; rates'!$C$101+E24*'Study Information &amp; rates'!$D$101+F24*'Study Information &amp; rates'!$F$101))</f>
        <v>0</v>
      </c>
      <c r="H24" s="327"/>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428"/>
      <c r="AR24" s="440">
        <f>(SUM(H24:AP24))*G24</f>
        <v>0</v>
      </c>
      <c r="AS24" s="440">
        <f>IF('Study Information &amp; rates'!$B$44="Yes",AR24*0.287,0)</f>
        <v>0</v>
      </c>
      <c r="AT24" s="440">
        <f>IF('Study Information &amp; rates'!$B$44="No",0,AR24*0.05)</f>
        <v>0</v>
      </c>
      <c r="AU24" s="440">
        <f>AR24+AS24+AT24</f>
        <v>0</v>
      </c>
      <c r="AV24" s="440">
        <f>'Set-up and other costs'!$B$18*AU24</f>
        <v>0</v>
      </c>
      <c r="BC24" s="2">
        <f>H24*G24</f>
        <v>0</v>
      </c>
      <c r="BD24" s="2">
        <f>IF('Study Information &amp; rates'!$B$44='Study Information &amp; rates'!$V$12,BC24*0.287,0)</f>
        <v>0</v>
      </c>
      <c r="BE24" s="2">
        <f>IF((Reconciliation!$C$15)&gt;5000,BC24*0.05,0)</f>
        <v>0</v>
      </c>
      <c r="BF24" s="2">
        <f>BC24+BD24+BE24</f>
        <v>0</v>
      </c>
      <c r="BG24" s="6" t="b">
        <f>IF($B24='Look Up'!$A$5,$H24)</f>
        <v>0</v>
      </c>
      <c r="BH24" s="6" t="b">
        <f>IF($B24='Look Up'!$A$6,$H24)</f>
        <v>0</v>
      </c>
      <c r="BI24" s="6" t="b">
        <f>IF($B24='Look Up'!$A$7,$H24)</f>
        <v>0</v>
      </c>
      <c r="BJ24" s="6" t="b">
        <f>IF($B24='Look Up'!$A$7,$H24)</f>
        <v>0</v>
      </c>
      <c r="BL24" s="6">
        <f>IF($B24='Look Up'!$A$6,$C24*$H24,0)+IF($B24='Look Up'!$A$7,$C24*$H24,0)</f>
        <v>0</v>
      </c>
      <c r="BM24" s="6">
        <f>IF($B24='Look Up'!$A$6,$D24*$H24,0)+IF($B24='Look Up'!$A$7,$D24*$H24,0)</f>
        <v>0</v>
      </c>
      <c r="BN24" s="6">
        <f>IF($B24='Look Up'!$A$6,$E24*$H24,0)+IF($B24='Look Up'!$A$7,$E24*$H24,0)</f>
        <v>0</v>
      </c>
      <c r="BO24" s="6">
        <f>IF($B24='Look Up'!$A$6,$F24*$H24,0)+IF($B24='Look Up'!$A$7,$F24*$H24,0)</f>
        <v>0</v>
      </c>
      <c r="BQ24" s="6">
        <f>$C24*'Study Information &amp; rates'!$B$101*IF('Study Information &amp; rates'!$B$44='Study Information &amp; rates'!$V$12,(SUM($H24:$AP24)*1.287),(SUM($H24:$AP24)))</f>
        <v>0</v>
      </c>
      <c r="BR24" s="6">
        <f>$D24*'Study Information &amp; rates'!$C$101*IF('Study Information &amp; rates'!$B$44='Study Information &amp; rates'!$V$12,(SUM($H24:$AP24)*1.287),(SUM($H24:$AP24)))</f>
        <v>0</v>
      </c>
      <c r="BS24" s="6">
        <f>$E24*'Study Information &amp; rates'!$D$101*IF('Study Information &amp; rates'!$B$44='Study Information &amp; rates'!$V$12,(SUM($H24:$AP24)*1.287),(SUM($H24:$AP24)))</f>
        <v>0</v>
      </c>
      <c r="BT24" s="6">
        <f>$F24*'Study Information &amp; rates'!$F$101*IF('Study Information &amp; rates'!$B$44='Study Information &amp; rates'!$V$12,(SUM($H24:$AP24)*1.287),(SUM($H24:$AP24)))</f>
        <v>0</v>
      </c>
    </row>
    <row r="25" spans="1:72">
      <c r="A25" s="8"/>
      <c r="B25" s="8"/>
      <c r="C25" s="326"/>
      <c r="D25" s="326"/>
      <c r="E25" s="326"/>
      <c r="F25" s="326"/>
      <c r="G25" s="532">
        <f>IF(ISERROR((C25*'Study Information &amp; rates'!$B$101+D25*'Study Information &amp; rates'!$C$101+E25*'Study Information &amp; rates'!$D$101+F25*'Study Information &amp; rates'!$F$101)),0,(C25*'Study Information &amp; rates'!$B$101+D25*'Study Information &amp; rates'!$C$101+E25*'Study Information &amp; rates'!$D$101+F25*'Study Information &amp; rates'!$F$101))</f>
        <v>0</v>
      </c>
      <c r="H25" s="327"/>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428"/>
      <c r="AR25" s="440">
        <f>(SUM(H25:AP25))*G25</f>
        <v>0</v>
      </c>
      <c r="AS25" s="440">
        <f>IF('Study Information &amp; rates'!$B$44="Yes",AR25*0.287,0)</f>
        <v>0</v>
      </c>
      <c r="AT25" s="440">
        <f>IF('Study Information &amp; rates'!$B$44="No",0,AR25*0.05)</f>
        <v>0</v>
      </c>
      <c r="AU25" s="440">
        <f>AR25+AS25+AT25</f>
        <v>0</v>
      </c>
      <c r="AV25" s="440">
        <f>'Set-up and other costs'!$B$18*AU25</f>
        <v>0</v>
      </c>
      <c r="BC25" s="2">
        <f>H25*G25</f>
        <v>0</v>
      </c>
      <c r="BD25" s="2">
        <f>IF('Study Information &amp; rates'!$B$44='Study Information &amp; rates'!$V$12,BC25*0.287,0)</f>
        <v>0</v>
      </c>
      <c r="BE25" s="2">
        <f>IF((Reconciliation!$C$15)&gt;5000,BC25*0.05,0)</f>
        <v>0</v>
      </c>
      <c r="BF25" s="2">
        <f>BC25+BD25+BE25</f>
        <v>0</v>
      </c>
      <c r="BG25" s="6" t="b">
        <f>IF($B25='Look Up'!$A$5,$H25)</f>
        <v>0</v>
      </c>
      <c r="BH25" s="6" t="b">
        <f>IF($B25='Look Up'!$A$6,$H25)</f>
        <v>0</v>
      </c>
      <c r="BI25" s="6" t="b">
        <f>IF($B25='Look Up'!$A$7,$H25)</f>
        <v>0</v>
      </c>
      <c r="BJ25" s="6" t="b">
        <f>IF($B25='Look Up'!$A$7,$H25)</f>
        <v>0</v>
      </c>
      <c r="BL25" s="6">
        <f>IF($B25='Look Up'!$A$6,$C25*$H25,0)+IF($B25='Look Up'!$A$7,$C25*$H25,0)</f>
        <v>0</v>
      </c>
      <c r="BM25" s="6">
        <f>IF($B25='Look Up'!$A$6,$D25*$H25,0)+IF($B25='Look Up'!$A$7,$D25*$H25,0)</f>
        <v>0</v>
      </c>
      <c r="BN25" s="6">
        <f>IF($B25='Look Up'!$A$6,$E25*$H25,0)+IF($B25='Look Up'!$A$7,$E25*$H25,0)</f>
        <v>0</v>
      </c>
      <c r="BO25" s="6">
        <f>IF($B25='Look Up'!$A$6,$F25*$H25,0)+IF($B25='Look Up'!$A$7,$F25*$H25,0)</f>
        <v>0</v>
      </c>
      <c r="BQ25" s="6">
        <f>$C25*'Study Information &amp; rates'!$B$101*IF('Study Information &amp; rates'!$B$44='Study Information &amp; rates'!$V$12,(SUM($H25:$AP25)*1.287),(SUM($H25:$AP25)))</f>
        <v>0</v>
      </c>
      <c r="BR25" s="6">
        <f>$D25*'Study Information &amp; rates'!$C$101*IF('Study Information &amp; rates'!$B$44='Study Information &amp; rates'!$V$12,(SUM($H25:$AP25)*1.287),(SUM($H25:$AP25)))</f>
        <v>0</v>
      </c>
      <c r="BS25" s="6">
        <f>$E25*'Study Information &amp; rates'!$D$101*IF('Study Information &amp; rates'!$B$44='Study Information &amp; rates'!$V$12,(SUM($H25:$AP25)*1.287),(SUM($H25:$AP25)))</f>
        <v>0</v>
      </c>
      <c r="BT25" s="6">
        <f>$F25*'Study Information &amp; rates'!$F$101*IF('Study Information &amp; rates'!$B$44='Study Information &amp; rates'!$V$12,(SUM($H25:$AP25)*1.287),(SUM($H25:$AP25)))</f>
        <v>0</v>
      </c>
    </row>
    <row r="26" spans="1:72">
      <c r="A26" s="8"/>
      <c r="B26" s="8"/>
      <c r="C26" s="326"/>
      <c r="D26" s="326"/>
      <c r="E26" s="326"/>
      <c r="F26" s="326"/>
      <c r="G26" s="532">
        <f>IF(ISERROR((C26*'Study Information &amp; rates'!$B$101+D26*'Study Information &amp; rates'!$C$101+E26*'Study Information &amp; rates'!$D$101+F26*'Study Information &amp; rates'!$F$101)),0,(C26*'Study Information &amp; rates'!$B$101+D26*'Study Information &amp; rates'!$C$101+E26*'Study Information &amp; rates'!$D$101+F26*'Study Information &amp; rates'!$F$101))</f>
        <v>0</v>
      </c>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428"/>
      <c r="AR26" s="440">
        <f>(SUM(H26:AP26))*G26</f>
        <v>0</v>
      </c>
      <c r="AS26" s="440">
        <f>IF('Study Information &amp; rates'!$B$44="Yes",AR26*0.287,0)</f>
        <v>0</v>
      </c>
      <c r="AT26" s="440">
        <f>IF('Study Information &amp; rates'!$B$44="No",0,AR26*0.05)</f>
        <v>0</v>
      </c>
      <c r="AU26" s="440">
        <f>AR26+AS26+AT26</f>
        <v>0</v>
      </c>
      <c r="AV26" s="440">
        <f>'Set-up and other costs'!$B$18*AU26</f>
        <v>0</v>
      </c>
      <c r="BC26" s="2">
        <f>H26*G26</f>
        <v>0</v>
      </c>
      <c r="BD26" s="2">
        <f>IF('Study Information &amp; rates'!$B$44='Study Information &amp; rates'!$V$12,BC26*0.287,0)</f>
        <v>0</v>
      </c>
      <c r="BE26" s="2">
        <f>IF((Reconciliation!$C$15)&gt;5000,BC26*0.05,0)</f>
        <v>0</v>
      </c>
      <c r="BF26" s="2">
        <f>BC26+BD26+BE26</f>
        <v>0</v>
      </c>
      <c r="BG26" s="6" t="b">
        <f>IF($B26='Look Up'!$A$5,$H26)</f>
        <v>0</v>
      </c>
      <c r="BH26" s="6" t="b">
        <f>IF($B26='Look Up'!$A$6,$H26)</f>
        <v>0</v>
      </c>
      <c r="BI26" s="6" t="b">
        <f>IF($B26='Look Up'!$A$7,$H26)</f>
        <v>0</v>
      </c>
      <c r="BJ26" s="6" t="b">
        <f>IF($B26='Look Up'!$A$7,$H26)</f>
        <v>0</v>
      </c>
      <c r="BL26" s="6">
        <f>IF($B26='Look Up'!$A$6,$C26*$H26,0)+IF($B26='Look Up'!$A$7,$C26*$H26,0)</f>
        <v>0</v>
      </c>
      <c r="BM26" s="6">
        <f>IF($B26='Look Up'!$A$6,$D26*$H26,0)+IF($B26='Look Up'!$A$7,$D26*$H26,0)</f>
        <v>0</v>
      </c>
      <c r="BN26" s="6">
        <f>IF($B26='Look Up'!$A$6,$E26*$H26,0)+IF($B26='Look Up'!$A$7,$E26*$H26,0)</f>
        <v>0</v>
      </c>
      <c r="BO26" s="6">
        <f>IF($B26='Look Up'!$A$6,$F26*$H26,0)+IF($B26='Look Up'!$A$7,$F26*$H26,0)</f>
        <v>0</v>
      </c>
      <c r="BQ26" s="6">
        <f>$C26*'Study Information &amp; rates'!$B$101*IF('Study Information &amp; rates'!$B$44='Study Information &amp; rates'!$V$12,(SUM($H26:$AP26)*1.287),(SUM($H26:$AP26)))</f>
        <v>0</v>
      </c>
      <c r="BR26" s="6">
        <f>$D26*'Study Information &amp; rates'!$C$101*IF('Study Information &amp; rates'!$B$44='Study Information &amp; rates'!$V$12,(SUM($H26:$AP26)*1.287),(SUM($H26:$AP26)))</f>
        <v>0</v>
      </c>
      <c r="BS26" s="6">
        <f>$E26*'Study Information &amp; rates'!$D$101*IF('Study Information &amp; rates'!$B$44='Study Information &amp; rates'!$V$12,(SUM($H26:$AP26)*1.287),(SUM($H26:$AP26)))</f>
        <v>0</v>
      </c>
      <c r="BT26" s="6">
        <f>$F26*'Study Information &amp; rates'!$F$101*IF('Study Information &amp; rates'!$B$44='Study Information &amp; rates'!$V$12,(SUM($H26:$AP26)*1.287),(SUM($H26:$AP26)))</f>
        <v>0</v>
      </c>
    </row>
    <row r="27" spans="1:72">
      <c r="A27" s="8"/>
      <c r="B27" s="8"/>
      <c r="C27" s="326"/>
      <c r="D27" s="326"/>
      <c r="E27" s="326"/>
      <c r="F27" s="326"/>
      <c r="G27" s="532">
        <f>IF(ISERROR((C27*'Study Information &amp; rates'!$B$101+D27*'Study Information &amp; rates'!$C$101+E27*'Study Information &amp; rates'!$D$101+F27*'Study Information &amp; rates'!$F$101)),0,(C27*'Study Information &amp; rates'!$B$101+D27*'Study Information &amp; rates'!$C$101+E27*'Study Information &amp; rates'!$D$101+F27*'Study Information &amp; rates'!$F$101))</f>
        <v>0</v>
      </c>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428"/>
      <c r="AR27" s="440">
        <f>(SUM(H27:AP27))*G27</f>
        <v>0</v>
      </c>
      <c r="AS27" s="440">
        <f>IF('Study Information &amp; rates'!$B$44="Yes",AR27*0.287,0)</f>
        <v>0</v>
      </c>
      <c r="AT27" s="440">
        <f>IF('Study Information &amp; rates'!$B$44="No",0,AR27*0.05)</f>
        <v>0</v>
      </c>
      <c r="AU27" s="440">
        <f>AR27+AS27+AT27</f>
        <v>0</v>
      </c>
      <c r="AV27" s="440">
        <f>'Set-up and other costs'!$B$18*AU27</f>
        <v>0</v>
      </c>
      <c r="BC27" s="2">
        <f>H27*G27</f>
        <v>0</v>
      </c>
      <c r="BD27" s="2">
        <f>IF('Study Information &amp; rates'!$B$44='Study Information &amp; rates'!$V$12,BC27*0.287,0)</f>
        <v>0</v>
      </c>
      <c r="BE27" s="2">
        <f>IF((Reconciliation!$C$15)&gt;5000,BC27*0.05,0)</f>
        <v>0</v>
      </c>
      <c r="BF27" s="2">
        <f>BC27+BD27+BE27</f>
        <v>0</v>
      </c>
      <c r="BG27" s="6" t="b">
        <f>IF($B27='Look Up'!$A$5,$H27)</f>
        <v>0</v>
      </c>
      <c r="BH27" s="6" t="b">
        <f>IF($B27='Look Up'!$A$6,$H27)</f>
        <v>0</v>
      </c>
      <c r="BI27" s="6" t="b">
        <f>IF($B27='Look Up'!$A$7,$H27)</f>
        <v>0</v>
      </c>
      <c r="BJ27" s="6" t="b">
        <f>IF($B27='Look Up'!$A$7,$H27)</f>
        <v>0</v>
      </c>
      <c r="BL27" s="6">
        <f>IF($B27='Look Up'!$A$6,$C27*$H27,0)+IF($B27='Look Up'!$A$7,$C27*$H27,0)</f>
        <v>0</v>
      </c>
      <c r="BM27" s="6">
        <f>IF($B27='Look Up'!$A$6,$D27*$H27,0)+IF($B27='Look Up'!$A$7,$D27*$H27,0)</f>
        <v>0</v>
      </c>
      <c r="BN27" s="6">
        <f>IF($B27='Look Up'!$A$6,$E27*$H27,0)+IF($B27='Look Up'!$A$7,$E27*$H27,0)</f>
        <v>0</v>
      </c>
      <c r="BO27" s="6">
        <f>IF($B27='Look Up'!$A$6,$F27*$H27,0)+IF($B27='Look Up'!$A$7,$F27*$H27,0)</f>
        <v>0</v>
      </c>
      <c r="BQ27" s="6">
        <f>$C27*'Study Information &amp; rates'!$B$101*IF('Study Information &amp; rates'!$B$44='Study Information &amp; rates'!$V$12,(SUM($H27:$AP27)*1.287),(SUM($H27:$AP27)))</f>
        <v>0</v>
      </c>
      <c r="BR27" s="6">
        <f>$D27*'Study Information &amp; rates'!$C$101*IF('Study Information &amp; rates'!$B$44='Study Information &amp; rates'!$V$12,(SUM($H27:$AP27)*1.287),(SUM($H27:$AP27)))</f>
        <v>0</v>
      </c>
      <c r="BS27" s="6">
        <f>$E27*'Study Information &amp; rates'!$D$101*IF('Study Information &amp; rates'!$B$44='Study Information &amp; rates'!$V$12,(SUM($H27:$AP27)*1.287),(SUM($H27:$AP27)))</f>
        <v>0</v>
      </c>
      <c r="BT27" s="6">
        <f>$F27*'Study Information &amp; rates'!$F$101*IF('Study Information &amp; rates'!$B$44='Study Information &amp; rates'!$V$12,(SUM($H27:$AP27)*1.287),(SUM($H27:$AP27)))</f>
        <v>0</v>
      </c>
    </row>
    <row r="28" spans="1:72">
      <c r="A28" s="8"/>
      <c r="B28" s="8"/>
      <c r="C28" s="326"/>
      <c r="D28" s="326"/>
      <c r="E28" s="326"/>
      <c r="F28" s="326"/>
      <c r="G28" s="532">
        <f>IF(ISERROR((C28*'Study Information &amp; rates'!$B$101+D28*'Study Information &amp; rates'!$C$101+E28*'Study Information &amp; rates'!$D$101+F28*'Study Information &amp; rates'!$F$101)),0,(C28*'Study Information &amp; rates'!$B$101+D28*'Study Information &amp; rates'!$C$101+E28*'Study Information &amp; rates'!$D$101+F28*'Study Information &amp; rates'!$F$101))</f>
        <v>0</v>
      </c>
      <c r="H28" s="327"/>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428"/>
      <c r="AR28" s="440">
        <f>(SUM(H28:AP28))*G28</f>
        <v>0</v>
      </c>
      <c r="AS28" s="440">
        <f>IF('Study Information &amp; rates'!$B$44="Yes",AR28*0.287,0)</f>
        <v>0</v>
      </c>
      <c r="AT28" s="440">
        <f>IF('Study Information &amp; rates'!$B$44="No",0,AR28*0.05)</f>
        <v>0</v>
      </c>
      <c r="AU28" s="440">
        <f>AR28+AS28+AT28</f>
        <v>0</v>
      </c>
      <c r="AV28" s="440">
        <f>'Set-up and other costs'!$B$18*AU28</f>
        <v>0</v>
      </c>
      <c r="BC28" s="2">
        <f>H28*G28</f>
        <v>0</v>
      </c>
      <c r="BD28" s="2">
        <f>IF('Study Information &amp; rates'!$B$44='Study Information &amp; rates'!$V$12,BC28*0.287,0)</f>
        <v>0</v>
      </c>
      <c r="BE28" s="2">
        <f>IF((Reconciliation!$C$15)&gt;5000,BC28*0.05,0)</f>
        <v>0</v>
      </c>
      <c r="BF28" s="2">
        <f>BC28+BD28+BE28</f>
        <v>0</v>
      </c>
      <c r="BG28" s="6" t="b">
        <f>IF($B28='Look Up'!$A$5,$H28)</f>
        <v>0</v>
      </c>
      <c r="BH28" s="6" t="b">
        <f>IF($B28='Look Up'!$A$6,$H28)</f>
        <v>0</v>
      </c>
      <c r="BI28" s="6" t="b">
        <f>IF($B28='Look Up'!$A$7,$H28)</f>
        <v>0</v>
      </c>
      <c r="BJ28" s="6" t="b">
        <f>IF($B28='Look Up'!$A$7,$H28)</f>
        <v>0</v>
      </c>
      <c r="BL28" s="6">
        <f>IF($B28='Look Up'!$A$6,$C28*$H28,0)+IF($B28='Look Up'!$A$7,$C28*$H28,0)</f>
        <v>0</v>
      </c>
      <c r="BM28" s="6">
        <f>IF($B28='Look Up'!$A$6,$D28*$H28,0)+IF($B28='Look Up'!$A$7,$D28*$H28,0)</f>
        <v>0</v>
      </c>
      <c r="BN28" s="6">
        <f>IF($B28='Look Up'!$A$6,$E28*$H28,0)+IF($B28='Look Up'!$A$7,$E28*$H28,0)</f>
        <v>0</v>
      </c>
      <c r="BO28" s="6">
        <f>IF($B28='Look Up'!$A$6,$F28*$H28,0)+IF($B28='Look Up'!$A$7,$F28*$H28,0)</f>
        <v>0</v>
      </c>
      <c r="BQ28" s="6">
        <f>$C28*'Study Information &amp; rates'!$B$101*IF('Study Information &amp; rates'!$B$44='Study Information &amp; rates'!$V$12,(SUM($H28:$AP28)*1.287),(SUM($H28:$AP28)))</f>
        <v>0</v>
      </c>
      <c r="BR28" s="6">
        <f>$D28*'Study Information &amp; rates'!$C$101*IF('Study Information &amp; rates'!$B$44='Study Information &amp; rates'!$V$12,(SUM($H28:$AP28)*1.287),(SUM($H28:$AP28)))</f>
        <v>0</v>
      </c>
      <c r="BS28" s="6">
        <f>$E28*'Study Information &amp; rates'!$D$101*IF('Study Information &amp; rates'!$B$44='Study Information &amp; rates'!$V$12,(SUM($H28:$AP28)*1.287),(SUM($H28:$AP28)))</f>
        <v>0</v>
      </c>
      <c r="BT28" s="6">
        <f>$F28*'Study Information &amp; rates'!$F$101*IF('Study Information &amp; rates'!$B$44='Study Information &amp; rates'!$V$12,(SUM($H28:$AP28)*1.287),(SUM($H28:$AP28)))</f>
        <v>0</v>
      </c>
    </row>
    <row r="29" spans="1:72">
      <c r="A29" s="8"/>
      <c r="B29" s="8"/>
      <c r="C29" s="326"/>
      <c r="D29" s="326"/>
      <c r="E29" s="326"/>
      <c r="F29" s="326"/>
      <c r="G29" s="532">
        <f>IF(ISERROR((C29*'Study Information &amp; rates'!$B$101+D29*'Study Information &amp; rates'!$C$101+E29*'Study Information &amp; rates'!$D$101+F29*'Study Information &amp; rates'!$F$101)),0,(C29*'Study Information &amp; rates'!$B$101+D29*'Study Information &amp; rates'!$C$101+E29*'Study Information &amp; rates'!$D$101+F29*'Study Information &amp; rates'!$F$101))</f>
        <v>0</v>
      </c>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428"/>
      <c r="AR29" s="440">
        <f>(SUM(H29:AP29))*G29</f>
        <v>0</v>
      </c>
      <c r="AS29" s="440">
        <f>IF('Study Information &amp; rates'!$B$44="Yes",AR29*0.287,0)</f>
        <v>0</v>
      </c>
      <c r="AT29" s="440">
        <f>IF('Study Information &amp; rates'!$B$44="No",0,AR29*0.05)</f>
        <v>0</v>
      </c>
      <c r="AU29" s="440">
        <f>AR29+AS29+AT29</f>
        <v>0</v>
      </c>
      <c r="AV29" s="440">
        <f>'Set-up and other costs'!$B$18*AU29</f>
        <v>0</v>
      </c>
      <c r="BC29" s="2">
        <f>H29*G29</f>
        <v>0</v>
      </c>
      <c r="BD29" s="2">
        <f>IF('Study Information &amp; rates'!$B$44='Study Information &amp; rates'!$V$12,BC29*0.287,0)</f>
        <v>0</v>
      </c>
      <c r="BE29" s="2">
        <f>IF((Reconciliation!$C$15)&gt;5000,BC29*0.05,0)</f>
        <v>0</v>
      </c>
      <c r="BF29" s="2">
        <f>BC29+BD29+BE29</f>
        <v>0</v>
      </c>
      <c r="BG29" s="6" t="b">
        <f>IF($B29='Look Up'!$A$5,$H29)</f>
        <v>0</v>
      </c>
      <c r="BH29" s="6" t="b">
        <f>IF($B29='Look Up'!$A$6,$H29)</f>
        <v>0</v>
      </c>
      <c r="BI29" s="6" t="b">
        <f>IF($B29='Look Up'!$A$7,$H29)</f>
        <v>0</v>
      </c>
      <c r="BJ29" s="6" t="b">
        <f>IF($B29='Look Up'!$A$7,$H29)</f>
        <v>0</v>
      </c>
      <c r="BL29" s="6">
        <f>IF($B29='Look Up'!$A$6,$C29*$H29,0)+IF($B29='Look Up'!$A$7,$C29*$H29,0)</f>
        <v>0</v>
      </c>
      <c r="BM29" s="6">
        <f>IF($B29='Look Up'!$A$6,$D29*$H29,0)+IF($B29='Look Up'!$A$7,$D29*$H29,0)</f>
        <v>0</v>
      </c>
      <c r="BN29" s="6">
        <f>IF($B29='Look Up'!$A$6,$E29*$H29,0)+IF($B29='Look Up'!$A$7,$E29*$H29,0)</f>
        <v>0</v>
      </c>
      <c r="BO29" s="6">
        <f>IF($B29='Look Up'!$A$6,$F29*$H29,0)+IF($B29='Look Up'!$A$7,$F29*$H29,0)</f>
        <v>0</v>
      </c>
      <c r="BQ29" s="6">
        <f>$C29*'Study Information &amp; rates'!$B$101*IF('Study Information &amp; rates'!$B$44='Study Information &amp; rates'!$V$12,(SUM($H29:$AP29)*1.287),(SUM($H29:$AP29)))</f>
        <v>0</v>
      </c>
      <c r="BR29" s="6">
        <f>$D29*'Study Information &amp; rates'!$C$101*IF('Study Information &amp; rates'!$B$44='Study Information &amp; rates'!$V$12,(SUM($H29:$AP29)*1.287),(SUM($H29:$AP29)))</f>
        <v>0</v>
      </c>
      <c r="BS29" s="6">
        <f>$E29*'Study Information &amp; rates'!$D$101*IF('Study Information &amp; rates'!$B$44='Study Information &amp; rates'!$V$12,(SUM($H29:$AP29)*1.287),(SUM($H29:$AP29)))</f>
        <v>0</v>
      </c>
      <c r="BT29" s="6">
        <f>$F29*'Study Information &amp; rates'!$F$101*IF('Study Information &amp; rates'!$B$44='Study Information &amp; rates'!$V$12,(SUM($H29:$AP29)*1.287),(SUM($H29:$AP29)))</f>
        <v>0</v>
      </c>
    </row>
    <row r="30" spans="1:72">
      <c r="A30" s="8"/>
      <c r="B30" s="8"/>
      <c r="C30" s="326"/>
      <c r="D30" s="326"/>
      <c r="E30" s="326"/>
      <c r="F30" s="326"/>
      <c r="G30" s="532">
        <f>IF(ISERROR((C30*'Study Information &amp; rates'!$B$101+D30*'Study Information &amp; rates'!$C$101+E30*'Study Information &amp; rates'!$D$101+F30*'Study Information &amp; rates'!$F$101)),0,(C30*'Study Information &amp; rates'!$B$101+D30*'Study Information &amp; rates'!$C$101+E30*'Study Information &amp; rates'!$D$101+F30*'Study Information &amp; rates'!$F$101))</f>
        <v>0</v>
      </c>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428"/>
      <c r="AR30" s="440">
        <f>(SUM(H30:AP30))*G30</f>
        <v>0</v>
      </c>
      <c r="AS30" s="440">
        <f>IF('Study Information &amp; rates'!$B$44="Yes",AR30*0.287,0)</f>
        <v>0</v>
      </c>
      <c r="AT30" s="440">
        <f>IF('Study Information &amp; rates'!$B$44="No",0,AR30*0.05)</f>
        <v>0</v>
      </c>
      <c r="AU30" s="440">
        <f>AR30+AS30+AT30</f>
        <v>0</v>
      </c>
      <c r="AV30" s="440">
        <f>'Set-up and other costs'!$B$18*AU30</f>
        <v>0</v>
      </c>
      <c r="BC30" s="2">
        <f>H30*G30</f>
        <v>0</v>
      </c>
      <c r="BD30" s="2">
        <f>IF('Study Information &amp; rates'!$B$44='Study Information &amp; rates'!$V$12,BC30*0.287,0)</f>
        <v>0</v>
      </c>
      <c r="BE30" s="2">
        <f>IF((Reconciliation!$C$15)&gt;5000,BC30*0.05,0)</f>
        <v>0</v>
      </c>
      <c r="BF30" s="2">
        <f>BC30+BD30+BE30</f>
        <v>0</v>
      </c>
      <c r="BG30" s="6" t="b">
        <f>IF($B30='Look Up'!$A$5,$H30)</f>
        <v>0</v>
      </c>
      <c r="BH30" s="6" t="b">
        <f>IF($B30='Look Up'!$A$6,$H30)</f>
        <v>0</v>
      </c>
      <c r="BI30" s="6" t="b">
        <f>IF($B30='Look Up'!$A$7,$H30)</f>
        <v>0</v>
      </c>
      <c r="BJ30" s="6" t="b">
        <f>IF($B30='Look Up'!$A$7,$H30)</f>
        <v>0</v>
      </c>
      <c r="BL30" s="6">
        <f>IF($B30='Look Up'!$A$6,$C30*$H30,0)+IF($B30='Look Up'!$A$7,$C30*$H30,0)</f>
        <v>0</v>
      </c>
      <c r="BM30" s="6">
        <f>IF($B30='Look Up'!$A$6,$D30*$H30,0)+IF($B30='Look Up'!$A$7,$D30*$H30,0)</f>
        <v>0</v>
      </c>
      <c r="BN30" s="6">
        <f>IF($B30='Look Up'!$A$6,$E30*$H30,0)+IF($B30='Look Up'!$A$7,$E30*$H30,0)</f>
        <v>0</v>
      </c>
      <c r="BO30" s="6">
        <f>IF($B30='Look Up'!$A$6,$F30*$H30,0)+IF($B30='Look Up'!$A$7,$F30*$H30,0)</f>
        <v>0</v>
      </c>
      <c r="BQ30" s="6">
        <f>$C30*'Study Information &amp; rates'!$B$101*IF('Study Information &amp; rates'!$B$44='Study Information &amp; rates'!$V$12,(SUM($H30:$AP30)*1.287),(SUM($H30:$AP30)))</f>
        <v>0</v>
      </c>
      <c r="BR30" s="6">
        <f>$D30*'Study Information &amp; rates'!$C$101*IF('Study Information &amp; rates'!$B$44='Study Information &amp; rates'!$V$12,(SUM($H30:$AP30)*1.287),(SUM($H30:$AP30)))</f>
        <v>0</v>
      </c>
      <c r="BS30" s="6">
        <f>$E30*'Study Information &amp; rates'!$D$101*IF('Study Information &amp; rates'!$B$44='Study Information &amp; rates'!$V$12,(SUM($H30:$AP30)*1.287),(SUM($H30:$AP30)))</f>
        <v>0</v>
      </c>
      <c r="BT30" s="6">
        <f>$F30*'Study Information &amp; rates'!$F$101*IF('Study Information &amp; rates'!$B$44='Study Information &amp; rates'!$V$12,(SUM($H30:$AP30)*1.287),(SUM($H30:$AP30)))</f>
        <v>0</v>
      </c>
    </row>
    <row r="31" spans="1:72">
      <c r="A31" s="8"/>
      <c r="B31" s="8"/>
      <c r="C31" s="326"/>
      <c r="D31" s="326"/>
      <c r="E31" s="326"/>
      <c r="F31" s="326"/>
      <c r="G31" s="532">
        <f>IF(ISERROR((C31*'Study Information &amp; rates'!$B$101+D31*'Study Information &amp; rates'!$C$101+E31*'Study Information &amp; rates'!$D$101+F31*'Study Information &amp; rates'!$F$101)),0,(C31*'Study Information &amp; rates'!$B$101+D31*'Study Information &amp; rates'!$C$101+E31*'Study Information &amp; rates'!$D$101+F31*'Study Information &amp; rates'!$F$101))</f>
        <v>0</v>
      </c>
      <c r="H31" s="327"/>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428"/>
      <c r="AR31" s="440">
        <f>(SUM(H31:AP31))*G31</f>
        <v>0</v>
      </c>
      <c r="AS31" s="440">
        <f>IF('Study Information &amp; rates'!$B$44="Yes",AR31*0.287,0)</f>
        <v>0</v>
      </c>
      <c r="AT31" s="440">
        <f>IF('Study Information &amp; rates'!$B$44="No",0,AR31*0.05)</f>
        <v>0</v>
      </c>
      <c r="AU31" s="440">
        <f>AR31+AS31+AT31</f>
        <v>0</v>
      </c>
      <c r="AV31" s="440">
        <f>'Set-up and other costs'!$B$18*AU31</f>
        <v>0</v>
      </c>
      <c r="BC31" s="2">
        <f>H31*G31</f>
        <v>0</v>
      </c>
      <c r="BD31" s="2">
        <f>IF('Study Information &amp; rates'!$B$44='Study Information &amp; rates'!$V$12,BC31*0.287,0)</f>
        <v>0</v>
      </c>
      <c r="BE31" s="2">
        <f>IF((Reconciliation!$C$15)&gt;5000,BC31*0.05,0)</f>
        <v>0</v>
      </c>
      <c r="BF31" s="2">
        <f>BC31+BD31+BE31</f>
        <v>0</v>
      </c>
      <c r="BG31" s="6" t="b">
        <f>IF($B31='Look Up'!$A$5,$H31)</f>
        <v>0</v>
      </c>
      <c r="BH31" s="6" t="b">
        <f>IF($B31='Look Up'!$A$6,$H31)</f>
        <v>0</v>
      </c>
      <c r="BI31" s="6" t="b">
        <f>IF($B31='Look Up'!$A$7,$H31)</f>
        <v>0</v>
      </c>
      <c r="BJ31" s="6" t="b">
        <f>IF($B31='Look Up'!$A$7,$H31)</f>
        <v>0</v>
      </c>
      <c r="BL31" s="6">
        <f>IF($B31='Look Up'!$A$6,$C31*$H31,0)+IF($B31='Look Up'!$A$7,$C31*$H31,0)</f>
        <v>0</v>
      </c>
      <c r="BM31" s="6">
        <f>IF($B31='Look Up'!$A$6,$D31*$H31,0)+IF($B31='Look Up'!$A$7,$D31*$H31,0)</f>
        <v>0</v>
      </c>
      <c r="BN31" s="6">
        <f>IF($B31='Look Up'!$A$6,$E31*$H31,0)+IF($B31='Look Up'!$A$7,$E31*$H31,0)</f>
        <v>0</v>
      </c>
      <c r="BO31" s="6">
        <f>IF($B31='Look Up'!$A$6,$F31*$H31,0)+IF($B31='Look Up'!$A$7,$F31*$H31,0)</f>
        <v>0</v>
      </c>
      <c r="BQ31" s="6">
        <f>$C31*'Study Information &amp; rates'!$B$101*IF('Study Information &amp; rates'!$B$44='Study Information &amp; rates'!$V$12,(SUM($H31:$AP31)*1.287),(SUM($H31:$AP31)))</f>
        <v>0</v>
      </c>
      <c r="BR31" s="6">
        <f>$D31*'Study Information &amp; rates'!$C$101*IF('Study Information &amp; rates'!$B$44='Study Information &amp; rates'!$V$12,(SUM($H31:$AP31)*1.287),(SUM($H31:$AP31)))</f>
        <v>0</v>
      </c>
      <c r="BS31" s="6">
        <f>$E31*'Study Information &amp; rates'!$D$101*IF('Study Information &amp; rates'!$B$44='Study Information &amp; rates'!$V$12,(SUM($H31:$AP31)*1.287),(SUM($H31:$AP31)))</f>
        <v>0</v>
      </c>
      <c r="BT31" s="6">
        <f>$F31*'Study Information &amp; rates'!$F$101*IF('Study Information &amp; rates'!$B$44='Study Information &amp; rates'!$V$12,(SUM($H31:$AP31)*1.287),(SUM($H31:$AP31)))</f>
        <v>0</v>
      </c>
    </row>
    <row r="32" spans="1:72">
      <c r="A32" s="8"/>
      <c r="B32" s="8"/>
      <c r="C32" s="326"/>
      <c r="D32" s="326"/>
      <c r="E32" s="326"/>
      <c r="F32" s="326"/>
      <c r="G32" s="532">
        <f>IF(ISERROR((C32*'Study Information &amp; rates'!$B$101+D32*'Study Information &amp; rates'!$C$101+E32*'Study Information &amp; rates'!$D$101+F32*'Study Information &amp; rates'!$F$101)),0,(C32*'Study Information &amp; rates'!$B$101+D32*'Study Information &amp; rates'!$C$101+E32*'Study Information &amp; rates'!$D$101+F32*'Study Information &amp; rates'!$F$101))</f>
        <v>0</v>
      </c>
      <c r="H32" s="327"/>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428"/>
      <c r="AR32" s="440">
        <f>(SUM(H32:AP32))*G32</f>
        <v>0</v>
      </c>
      <c r="AS32" s="440">
        <f>IF('Study Information &amp; rates'!$B$44="Yes",AR32*0.287,0)</f>
        <v>0</v>
      </c>
      <c r="AT32" s="440">
        <f>IF('Study Information &amp; rates'!$B$44="No",0,AR32*0.05)</f>
        <v>0</v>
      </c>
      <c r="AU32" s="440">
        <f>AR32+AS32+AT32</f>
        <v>0</v>
      </c>
      <c r="AV32" s="440">
        <f>'Set-up and other costs'!$B$18*AU32</f>
        <v>0</v>
      </c>
      <c r="BC32" s="2">
        <f>H32*G32</f>
        <v>0</v>
      </c>
      <c r="BD32" s="2">
        <f>IF('Study Information &amp; rates'!$B$44='Study Information &amp; rates'!$V$12,BC32*0.287,0)</f>
        <v>0</v>
      </c>
      <c r="BE32" s="2">
        <f>IF((Reconciliation!$C$15)&gt;5000,BC32*0.05,0)</f>
        <v>0</v>
      </c>
      <c r="BF32" s="2">
        <f>BC32+BD32+BE32</f>
        <v>0</v>
      </c>
      <c r="BG32" s="6" t="b">
        <f>IF($B32='Look Up'!$A$5,$H32)</f>
        <v>0</v>
      </c>
      <c r="BH32" s="6" t="b">
        <f>IF($B32='Look Up'!$A$6,$H32)</f>
        <v>0</v>
      </c>
      <c r="BI32" s="6" t="b">
        <f>IF($B32='Look Up'!$A$7,$H32)</f>
        <v>0</v>
      </c>
      <c r="BJ32" s="6" t="b">
        <f>IF($B32='Look Up'!$A$7,$H32)</f>
        <v>0</v>
      </c>
      <c r="BL32" s="6">
        <f>IF($B32='Look Up'!$A$6,$C32*$H32,0)+IF($B32='Look Up'!$A$7,$C32*$H32,0)</f>
        <v>0</v>
      </c>
      <c r="BM32" s="6">
        <f>IF($B32='Look Up'!$A$6,$D32*$H32,0)+IF($B32='Look Up'!$A$7,$D32*$H32,0)</f>
        <v>0</v>
      </c>
      <c r="BN32" s="6">
        <f>IF($B32='Look Up'!$A$6,$E32*$H32,0)+IF($B32='Look Up'!$A$7,$E32*$H32,0)</f>
        <v>0</v>
      </c>
      <c r="BO32" s="6">
        <f>IF($B32='Look Up'!$A$6,$F32*$H32,0)+IF($B32='Look Up'!$A$7,$F32*$H32,0)</f>
        <v>0</v>
      </c>
      <c r="BQ32" s="6">
        <f>$C32*'Study Information &amp; rates'!$B$101*IF('Study Information &amp; rates'!$B$44='Study Information &amp; rates'!$V$12,(SUM($H32:$AP32)*1.287),(SUM($H32:$AP32)))</f>
        <v>0</v>
      </c>
      <c r="BR32" s="6">
        <f>$D32*'Study Information &amp; rates'!$C$101*IF('Study Information &amp; rates'!$B$44='Study Information &amp; rates'!$V$12,(SUM($H32:$AP32)*1.287),(SUM($H32:$AP32)))</f>
        <v>0</v>
      </c>
      <c r="BS32" s="6">
        <f>$E32*'Study Information &amp; rates'!$D$101*IF('Study Information &amp; rates'!$B$44='Study Information &amp; rates'!$V$12,(SUM($H32:$AP32)*1.287),(SUM($H32:$AP32)))</f>
        <v>0</v>
      </c>
      <c r="BT32" s="6">
        <f>$F32*'Study Information &amp; rates'!$F$101*IF('Study Information &amp; rates'!$B$44='Study Information &amp; rates'!$V$12,(SUM($H32:$AP32)*1.287),(SUM($H32:$AP32)))</f>
        <v>0</v>
      </c>
    </row>
    <row r="33" spans="1:72">
      <c r="A33" s="8"/>
      <c r="B33" s="8"/>
      <c r="C33" s="326"/>
      <c r="D33" s="326"/>
      <c r="E33" s="326"/>
      <c r="F33" s="326"/>
      <c r="G33" s="532">
        <f>IF(ISERROR((C33*'Study Information &amp; rates'!$B$101+D33*'Study Information &amp; rates'!$C$101+E33*'Study Information &amp; rates'!$D$101+F33*'Study Information &amp; rates'!$F$101)),0,(C33*'Study Information &amp; rates'!$B$101+D33*'Study Information &amp; rates'!$C$101+E33*'Study Information &amp; rates'!$D$101+F33*'Study Information &amp; rates'!$F$101))</f>
        <v>0</v>
      </c>
      <c r="H33" s="327"/>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428"/>
      <c r="AR33" s="440">
        <f>(SUM(H33:AP33))*G33</f>
        <v>0</v>
      </c>
      <c r="AS33" s="440">
        <f>IF('Study Information &amp; rates'!$B$44="Yes",AR33*0.287,0)</f>
        <v>0</v>
      </c>
      <c r="AT33" s="440">
        <f>IF('Study Information &amp; rates'!$B$44="No",0,AR33*0.05)</f>
        <v>0</v>
      </c>
      <c r="AU33" s="440">
        <f>AR33+AS33+AT33</f>
        <v>0</v>
      </c>
      <c r="AV33" s="440">
        <f>'Set-up and other costs'!$B$18*AU33</f>
        <v>0</v>
      </c>
      <c r="BC33" s="2">
        <f>H33*G33</f>
        <v>0</v>
      </c>
      <c r="BD33" s="2">
        <f>IF('Study Information &amp; rates'!$B$44='Study Information &amp; rates'!$V$12,BC33*0.287,0)</f>
        <v>0</v>
      </c>
      <c r="BE33" s="2">
        <f>IF((Reconciliation!$C$15)&gt;5000,BC33*0.05,0)</f>
        <v>0</v>
      </c>
      <c r="BF33" s="2">
        <f>BC33+BD33+BE33</f>
        <v>0</v>
      </c>
      <c r="BG33" s="6" t="b">
        <f>IF($B33='Look Up'!$A$5,$H33)</f>
        <v>0</v>
      </c>
      <c r="BH33" s="6" t="b">
        <f>IF($B33='Look Up'!$A$6,$H33)</f>
        <v>0</v>
      </c>
      <c r="BI33" s="6" t="b">
        <f>IF($B33='Look Up'!$A$7,$H33)</f>
        <v>0</v>
      </c>
      <c r="BJ33" s="6" t="b">
        <f>IF($B33='Look Up'!$A$7,$H33)</f>
        <v>0</v>
      </c>
      <c r="BL33" s="6">
        <f>IF($B33='Look Up'!$A$6,$C33*$H33,0)+IF($B33='Look Up'!$A$7,$C33*$H33,0)</f>
        <v>0</v>
      </c>
      <c r="BM33" s="6">
        <f>IF($B33='Look Up'!$A$6,$D33*$H33,0)+IF($B33='Look Up'!$A$7,$D33*$H33,0)</f>
        <v>0</v>
      </c>
      <c r="BN33" s="6">
        <f>IF($B33='Look Up'!$A$6,$E33*$H33,0)+IF($B33='Look Up'!$A$7,$E33*$H33,0)</f>
        <v>0</v>
      </c>
      <c r="BO33" s="6">
        <f>IF($B33='Look Up'!$A$6,$F33*$H33,0)+IF($B33='Look Up'!$A$7,$F33*$H33,0)</f>
        <v>0</v>
      </c>
      <c r="BQ33" s="6">
        <f>$C33*'Study Information &amp; rates'!$B$101*IF('Study Information &amp; rates'!$B$44='Study Information &amp; rates'!$V$12,(SUM($H33:$AP33)*1.287),(SUM($H33:$AP33)))</f>
        <v>0</v>
      </c>
      <c r="BR33" s="6">
        <f>$D33*'Study Information &amp; rates'!$C$101*IF('Study Information &amp; rates'!$B$44='Study Information &amp; rates'!$V$12,(SUM($H33:$AP33)*1.287),(SUM($H33:$AP33)))</f>
        <v>0</v>
      </c>
      <c r="BS33" s="6">
        <f>$E33*'Study Information &amp; rates'!$D$101*IF('Study Information &amp; rates'!$B$44='Study Information &amp; rates'!$V$12,(SUM($H33:$AP33)*1.287),(SUM($H33:$AP33)))</f>
        <v>0</v>
      </c>
      <c r="BT33" s="6">
        <f>$F33*'Study Information &amp; rates'!$F$101*IF('Study Information &amp; rates'!$B$44='Study Information &amp; rates'!$V$12,(SUM($H33:$AP33)*1.287),(SUM($H33:$AP33)))</f>
        <v>0</v>
      </c>
    </row>
    <row r="34" spans="1:72">
      <c r="A34" s="8"/>
      <c r="B34" s="8"/>
      <c r="C34" s="326"/>
      <c r="D34" s="326"/>
      <c r="E34" s="326"/>
      <c r="F34" s="326"/>
      <c r="G34" s="532">
        <f>IF(ISERROR((C34*'Study Information &amp; rates'!$B$101+D34*'Study Information &amp; rates'!$C$101+E34*'Study Information &amp; rates'!$D$101+F34*'Study Information &amp; rates'!$F$101)),0,(C34*'Study Information &amp; rates'!$B$101+D34*'Study Information &amp; rates'!$C$101+E34*'Study Information &amp; rates'!$D$101+F34*'Study Information &amp; rates'!$F$101))</f>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428"/>
      <c r="AR34" s="440">
        <f>(SUM(H34:AP34))*G34</f>
        <v>0</v>
      </c>
      <c r="AS34" s="440">
        <f>IF('Study Information &amp; rates'!$B$44="Yes",AR34*0.287,0)</f>
        <v>0</v>
      </c>
      <c r="AT34" s="440">
        <f>IF('Study Information &amp; rates'!$B$44="No",0,AR34*0.05)</f>
        <v>0</v>
      </c>
      <c r="AU34" s="440">
        <f>AR34+AS34+AT34</f>
        <v>0</v>
      </c>
      <c r="AV34" s="440">
        <f>'Set-up and other costs'!$B$18*AU34</f>
        <v>0</v>
      </c>
      <c r="BC34" s="2">
        <f>H34*G34</f>
        <v>0</v>
      </c>
      <c r="BD34" s="2">
        <f>IF('Study Information &amp; rates'!$B$44='Study Information &amp; rates'!$V$12,BC34*0.287,0)</f>
        <v>0</v>
      </c>
      <c r="BE34" s="2">
        <f>IF((Reconciliation!$C$15)&gt;5000,BC34*0.05,0)</f>
        <v>0</v>
      </c>
      <c r="BF34" s="2">
        <f>BC34+BD34+BE34</f>
        <v>0</v>
      </c>
      <c r="BG34" s="6" t="b">
        <f>IF($B34='Look Up'!$A$5,$H34)</f>
        <v>0</v>
      </c>
      <c r="BH34" s="6" t="b">
        <f>IF($B34='Look Up'!$A$6,$H34)</f>
        <v>0</v>
      </c>
      <c r="BI34" s="6" t="b">
        <f>IF($B34='Look Up'!$A$7,$H34)</f>
        <v>0</v>
      </c>
      <c r="BJ34" s="6" t="b">
        <f>IF($B34='Look Up'!$A$7,$H34)</f>
        <v>0</v>
      </c>
      <c r="BL34" s="6">
        <f>IF($B34='Look Up'!$A$6,$C34*$H34,0)+IF($B34='Look Up'!$A$7,$C34*$H34,0)</f>
        <v>0</v>
      </c>
      <c r="BM34" s="6">
        <f>IF($B34='Look Up'!$A$6,$D34*$H34,0)+IF($B34='Look Up'!$A$7,$D34*$H34,0)</f>
        <v>0</v>
      </c>
      <c r="BN34" s="6">
        <f>IF($B34='Look Up'!$A$6,$E34*$H34,0)+IF($B34='Look Up'!$A$7,$E34*$H34,0)</f>
        <v>0</v>
      </c>
      <c r="BO34" s="6">
        <f>IF($B34='Look Up'!$A$6,$F34*$H34,0)+IF($B34='Look Up'!$A$7,$F34*$H34,0)</f>
        <v>0</v>
      </c>
      <c r="BQ34" s="6">
        <f>$C34*'Study Information &amp; rates'!$B$101*IF('Study Information &amp; rates'!$B$44='Study Information &amp; rates'!$V$12,(SUM($H34:$AP34)*1.287),(SUM($H34:$AP34)))</f>
        <v>0</v>
      </c>
      <c r="BR34" s="6">
        <f>$D34*'Study Information &amp; rates'!$C$101*IF('Study Information &amp; rates'!$B$44='Study Information &amp; rates'!$V$12,(SUM($H34:$AP34)*1.287),(SUM($H34:$AP34)))</f>
        <v>0</v>
      </c>
      <c r="BS34" s="6">
        <f>$E34*'Study Information &amp; rates'!$D$101*IF('Study Information &amp; rates'!$B$44='Study Information &amp; rates'!$V$12,(SUM($H34:$AP34)*1.287),(SUM($H34:$AP34)))</f>
        <v>0</v>
      </c>
      <c r="BT34" s="6">
        <f>$F34*'Study Information &amp; rates'!$F$101*IF('Study Information &amp; rates'!$B$44='Study Information &amp; rates'!$V$12,(SUM($H34:$AP34)*1.287),(SUM($H34:$AP34)))</f>
        <v>0</v>
      </c>
    </row>
    <row r="35" spans="1:72">
      <c r="A35" s="8"/>
      <c r="B35" s="8"/>
      <c r="C35" s="326"/>
      <c r="D35" s="326"/>
      <c r="E35" s="326"/>
      <c r="F35" s="326"/>
      <c r="G35" s="532">
        <f>IF(ISERROR((C35*'Study Information &amp; rates'!$B$101+D35*'Study Information &amp; rates'!$C$101+E35*'Study Information &amp; rates'!$D$101+F35*'Study Information &amp; rates'!$F$101)),0,(C35*'Study Information &amp; rates'!$B$101+D35*'Study Information &amp; rates'!$C$101+E35*'Study Information &amp; rates'!$D$101+F35*'Study Information &amp; rates'!$F$101))</f>
        <v>0</v>
      </c>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428"/>
      <c r="AR35" s="440">
        <f>(SUM(H35:AP35))*G35</f>
        <v>0</v>
      </c>
      <c r="AS35" s="440">
        <f>IF('Study Information &amp; rates'!$B$44="Yes",AR35*0.287,0)</f>
        <v>0</v>
      </c>
      <c r="AT35" s="440">
        <f>IF('Study Information &amp; rates'!$B$44="No",0,AR35*0.05)</f>
        <v>0</v>
      </c>
      <c r="AU35" s="440">
        <f>AR35+AS35+AT35</f>
        <v>0</v>
      </c>
      <c r="AV35" s="440">
        <f>'Set-up and other costs'!$B$18*AU35</f>
        <v>0</v>
      </c>
      <c r="BC35" s="2">
        <f>H35*G35</f>
        <v>0</v>
      </c>
      <c r="BD35" s="2">
        <f>IF('Study Information &amp; rates'!$B$44='Study Information &amp; rates'!$V$12,BC35*0.287,0)</f>
        <v>0</v>
      </c>
      <c r="BE35" s="2">
        <f>IF((Reconciliation!$C$15)&gt;5000,BC35*0.05,0)</f>
        <v>0</v>
      </c>
      <c r="BF35" s="2">
        <f>BC35+BD35+BE35</f>
        <v>0</v>
      </c>
      <c r="BG35" s="6" t="b">
        <f>IF($B35='Look Up'!$A$5,$H35)</f>
        <v>0</v>
      </c>
      <c r="BH35" s="6" t="b">
        <f>IF($B35='Look Up'!$A$6,$H35)</f>
        <v>0</v>
      </c>
      <c r="BI35" s="6" t="b">
        <f>IF($B35='Look Up'!$A$7,$H35)</f>
        <v>0</v>
      </c>
      <c r="BJ35" s="6" t="b">
        <f>IF($B35='Look Up'!$A$7,$H35)</f>
        <v>0</v>
      </c>
      <c r="BL35" s="6">
        <f>IF($B35='Look Up'!$A$6,$C35*$H35,0)+IF($B35='Look Up'!$A$7,$C35*$H35,0)</f>
        <v>0</v>
      </c>
      <c r="BM35" s="6">
        <f>IF($B35='Look Up'!$A$6,$D35*$H35,0)+IF($B35='Look Up'!$A$7,$D35*$H35,0)</f>
        <v>0</v>
      </c>
      <c r="BN35" s="6">
        <f>IF($B35='Look Up'!$A$6,$E35*$H35,0)+IF($B35='Look Up'!$A$7,$E35*$H35,0)</f>
        <v>0</v>
      </c>
      <c r="BO35" s="6">
        <f>IF($B35='Look Up'!$A$6,$F35*$H35,0)+IF($B35='Look Up'!$A$7,$F35*$H35,0)</f>
        <v>0</v>
      </c>
      <c r="BQ35" s="6">
        <f>$C35*'Study Information &amp; rates'!$B$101*IF('Study Information &amp; rates'!$B$44='Study Information &amp; rates'!$V$12,(SUM($H35:$AP35)*1.287),(SUM($H35:$AP35)))</f>
        <v>0</v>
      </c>
      <c r="BR35" s="6">
        <f>$D35*'Study Information &amp; rates'!$C$101*IF('Study Information &amp; rates'!$B$44='Study Information &amp; rates'!$V$12,(SUM($H35:$AP35)*1.287),(SUM($H35:$AP35)))</f>
        <v>0</v>
      </c>
      <c r="BS35" s="6">
        <f>$E35*'Study Information &amp; rates'!$D$101*IF('Study Information &amp; rates'!$B$44='Study Information &amp; rates'!$V$12,(SUM($H35:$AP35)*1.287),(SUM($H35:$AP35)))</f>
        <v>0</v>
      </c>
      <c r="BT35" s="6">
        <f>$F35*'Study Information &amp; rates'!$F$101*IF('Study Information &amp; rates'!$B$44='Study Information &amp; rates'!$V$12,(SUM($H35:$AP35)*1.287),(SUM($H35:$AP35)))</f>
        <v>0</v>
      </c>
    </row>
    <row r="36" spans="1:72">
      <c r="A36" s="8"/>
      <c r="B36" s="8"/>
      <c r="C36" s="326"/>
      <c r="D36" s="326"/>
      <c r="E36" s="326"/>
      <c r="F36" s="326"/>
      <c r="G36" s="532">
        <f>IF(ISERROR((C36*'Study Information &amp; rates'!$B$101+D36*'Study Information &amp; rates'!$C$101+E36*'Study Information &amp; rates'!$D$101+F36*'Study Information &amp; rates'!$F$101)),0,(C36*'Study Information &amp; rates'!$B$101+D36*'Study Information &amp; rates'!$C$101+E36*'Study Information &amp; rates'!$D$101+F36*'Study Information &amp; rates'!$F$101))</f>
        <v>0</v>
      </c>
      <c r="H36" s="327"/>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428"/>
      <c r="AR36" s="440">
        <f>(SUM(H36:AP36))*G36</f>
        <v>0</v>
      </c>
      <c r="AS36" s="440">
        <f>IF('Study Information &amp; rates'!$B$44="Yes",AR36*0.287,0)</f>
        <v>0</v>
      </c>
      <c r="AT36" s="440">
        <f>IF('Study Information &amp; rates'!$B$44="No",0,AR36*0.05)</f>
        <v>0</v>
      </c>
      <c r="AU36" s="440">
        <f>AR36+AS36+AT36</f>
        <v>0</v>
      </c>
      <c r="AV36" s="440">
        <f>'Set-up and other costs'!$B$18*AU36</f>
        <v>0</v>
      </c>
      <c r="BC36" s="2">
        <f>H36*G36</f>
        <v>0</v>
      </c>
      <c r="BD36" s="2">
        <f>IF('Study Information &amp; rates'!$B$44='Study Information &amp; rates'!$V$12,BC36*0.287,0)</f>
        <v>0</v>
      </c>
      <c r="BE36" s="2">
        <f>IF((Reconciliation!$C$5*1.287)&gt;5000,BC36*0.05,0)</f>
        <v>0</v>
      </c>
      <c r="BF36" s="2">
        <f>BC36+BD36+BE36</f>
        <v>0</v>
      </c>
      <c r="BG36" s="6" t="b">
        <f>IF($B36='Look Up'!$A$5,$H36)</f>
        <v>0</v>
      </c>
      <c r="BH36" s="6" t="b">
        <f>IF($B36='Look Up'!$A$6,$H36)</f>
        <v>0</v>
      </c>
      <c r="BI36" s="6" t="b">
        <f>IF($B36='Look Up'!$A$7,$H36)</f>
        <v>0</v>
      </c>
      <c r="BJ36" s="6" t="b">
        <f>IF($B36='Look Up'!$A$7,$H36)</f>
        <v>0</v>
      </c>
      <c r="BL36" s="6">
        <f>IF($B36='[7]Look Up'!$A$6,$C36*$H36,0)+IF($B36='[7]Look Up'!$A$7,$C36*$H36,0)</f>
        <v>0</v>
      </c>
      <c r="BM36" s="6">
        <f>IF($B36='[7]Look Up'!$A$6,$D36*$H36,0)+IF($B36='[7]Look Up'!$A$7,$D36*$H36,0)</f>
        <v>0</v>
      </c>
      <c r="BN36" s="6">
        <f>IF($B36='[7]Look Up'!$A$6,$E36*$H36,0)+IF($B36='[7]Look Up'!$A$7,$E36*$H36,0)</f>
        <v>0</v>
      </c>
      <c r="BO36" s="6">
        <f>IF($B36='[7]Look Up'!$A$6,$F36*$H36,0)+IF($B36='[7]Look Up'!$A$7,$F36*$H36,0)</f>
        <v>0</v>
      </c>
      <c r="BQ36" s="6">
        <f>$C36*'Study Information &amp; rates'!$B$101*IF('Study Information &amp; rates'!$B$44='Study Information &amp; rates'!$V$12,(SUM($H36:$AP36)*1.287),(SUM($H36:$AP36)))</f>
        <v>0</v>
      </c>
      <c r="BR36" s="6">
        <f>$D36*'Study Information &amp; rates'!$C$101*IF('Study Information &amp; rates'!$B$44='Study Information &amp; rates'!$V$12,(SUM($H36:$AP36)*1.287),(SUM($H36:$AP36)))</f>
        <v>0</v>
      </c>
      <c r="BS36" s="6">
        <f>$E36*'Study Information &amp; rates'!$D$101*IF('Study Information &amp; rates'!$B$44='Study Information &amp; rates'!$V$12,(SUM($H36:$AP36)*1.287),(SUM($H36:$AP36)))</f>
        <v>0</v>
      </c>
      <c r="BT36" s="6">
        <f>$F36*'Study Information &amp; rates'!$F$101*IF('Study Information &amp; rates'!$B$44='Study Information &amp; rates'!$V$12,(SUM($H36:$AP36)*1.287),(SUM($H36:$AP36)))</f>
        <v>0</v>
      </c>
    </row>
    <row r="37" spans="1:72">
      <c r="A37" s="8"/>
      <c r="B37" s="8"/>
      <c r="C37" s="326"/>
      <c r="D37" s="326"/>
      <c r="E37" s="326"/>
      <c r="F37" s="326"/>
      <c r="G37" s="532">
        <f>IF(ISERROR((C37*'Study Information &amp; rates'!$B$101+D37*'Study Information &amp; rates'!$C$101+E37*'Study Information &amp; rates'!$D$101+F37*'Study Information &amp; rates'!$F$101)),0,(C37*'Study Information &amp; rates'!$B$101+D37*'Study Information &amp; rates'!$C$101+E37*'Study Information &amp; rates'!$D$101+F37*'Study Information &amp; rates'!$F$101))</f>
        <v>0</v>
      </c>
      <c r="H37" s="32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428"/>
      <c r="AR37" s="440">
        <f>(SUM(H37:AP37))*G37</f>
        <v>0</v>
      </c>
      <c r="AS37" s="440">
        <f>IF('Study Information &amp; rates'!$B$44="Yes",AR37*0.287,0)</f>
        <v>0</v>
      </c>
      <c r="AT37" s="440">
        <f>IF('Study Information &amp; rates'!$B$44="No",0,AR37*0.05)</f>
        <v>0</v>
      </c>
      <c r="AU37" s="440">
        <f>AR37+AS37+AT37</f>
        <v>0</v>
      </c>
      <c r="AV37" s="440">
        <f>'Set-up and other costs'!$B$18*AU37</f>
        <v>0</v>
      </c>
      <c r="BC37" s="2">
        <f>H37*G37</f>
        <v>0</v>
      </c>
      <c r="BD37" s="2">
        <f>IF('Study Information &amp; rates'!$B$44='Study Information &amp; rates'!$V$12,BC37*0.287,0)</f>
        <v>0</v>
      </c>
      <c r="BE37" s="2">
        <f>IF((Reconciliation!$C$5*1.287)&gt;5000,BC37*0.05,0)</f>
        <v>0</v>
      </c>
      <c r="BF37" s="2">
        <f>BC37+BD37+BE37</f>
        <v>0</v>
      </c>
      <c r="BG37" s="6" t="b">
        <f>IF($B37='Look Up'!$A$5,$H37)</f>
        <v>0</v>
      </c>
      <c r="BH37" s="6" t="b">
        <f>IF($B37='Look Up'!$A$6,$H37)</f>
        <v>0</v>
      </c>
      <c r="BI37" s="6" t="b">
        <f>IF($B37='Look Up'!$A$7,$H37)</f>
        <v>0</v>
      </c>
      <c r="BJ37" s="6" t="b">
        <f>IF($B37='Look Up'!$A$7,$H37)</f>
        <v>0</v>
      </c>
      <c r="BL37" s="6">
        <f>IF($B37='[7]Look Up'!$A$6,$C37*$H37,0)+IF($B37='[7]Look Up'!$A$7,$C37*$H37,0)</f>
        <v>0</v>
      </c>
      <c r="BM37" s="6">
        <f>IF($B37='[7]Look Up'!$A$6,$D37*$H37,0)+IF($B37='[7]Look Up'!$A$7,$D37*$H37,0)</f>
        <v>0</v>
      </c>
      <c r="BN37" s="6">
        <f>IF($B37='[7]Look Up'!$A$6,$E37*$H37,0)+IF($B37='[7]Look Up'!$A$7,$E37*$H37,0)</f>
        <v>0</v>
      </c>
      <c r="BO37" s="6">
        <f>IF($B37='[7]Look Up'!$A$6,$F37*$H37,0)+IF($B37='[7]Look Up'!$A$7,$F37*$H37,0)</f>
        <v>0</v>
      </c>
      <c r="BQ37" s="6">
        <f>$C37*'Study Information &amp; rates'!$B$101*IF('Study Information &amp; rates'!$B$44='Study Information &amp; rates'!$V$12,(SUM($H37:$AP37)*1.287),(SUM($H37:$AP37)))</f>
        <v>0</v>
      </c>
      <c r="BR37" s="6">
        <f>$D37*'Study Information &amp; rates'!$C$101*IF('Study Information &amp; rates'!$B$44='Study Information &amp; rates'!$V$12,(SUM($H37:$AP37)*1.287),(SUM($H37:$AP37)))</f>
        <v>0</v>
      </c>
      <c r="BS37" s="6">
        <f>$E37*'Study Information &amp; rates'!$D$101*IF('Study Information &amp; rates'!$B$44='Study Information &amp; rates'!$V$12,(SUM($H37:$AP37)*1.287),(SUM($H37:$AP37)))</f>
        <v>0</v>
      </c>
      <c r="BT37" s="6">
        <f>$F37*'Study Information &amp; rates'!$F$101*IF('Study Information &amp; rates'!$B$44='Study Information &amp; rates'!$V$12,(SUM($H37:$AP37)*1.287),(SUM($H37:$AP37)))</f>
        <v>0</v>
      </c>
    </row>
    <row r="38" spans="1:72">
      <c r="A38" s="8"/>
      <c r="B38" s="8"/>
      <c r="C38" s="326"/>
      <c r="D38" s="326"/>
      <c r="E38" s="326"/>
      <c r="F38" s="326"/>
      <c r="G38" s="532">
        <f>IF(ISERROR((C38*'Study Information &amp; rates'!$B$101+D38*'Study Information &amp; rates'!$C$101+E38*'Study Information &amp; rates'!$D$101+F38*'Study Information &amp; rates'!$F$101)),0,(C38*'Study Information &amp; rates'!$B$101+D38*'Study Information &amp; rates'!$C$101+E38*'Study Information &amp; rates'!$D$101+F38*'Study Information &amp; rates'!$F$101))</f>
        <v>0</v>
      </c>
      <c r="H38" s="32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428"/>
      <c r="AR38" s="440">
        <f>(SUM(H38:AP38))*G38</f>
        <v>0</v>
      </c>
      <c r="AS38" s="440">
        <f>IF('Study Information &amp; rates'!$B$44="Yes",AR38*0.287,0)</f>
        <v>0</v>
      </c>
      <c r="AT38" s="440">
        <f>IF('Study Information &amp; rates'!$B$44="No",0,AR38*0.05)</f>
        <v>0</v>
      </c>
      <c r="AU38" s="440">
        <f>AR38+AS38+AT38</f>
        <v>0</v>
      </c>
      <c r="AV38" s="440">
        <f>'Set-up and other costs'!$B$18*AU38</f>
        <v>0</v>
      </c>
      <c r="BC38" s="2">
        <f>H38*G38</f>
        <v>0</v>
      </c>
      <c r="BD38" s="2">
        <f>IF('Study Information &amp; rates'!$B$44='Study Information &amp; rates'!$V$12,BC38*0.287,0)</f>
        <v>0</v>
      </c>
      <c r="BE38" s="2">
        <f>IF((Reconciliation!$C$5*1.287)&gt;5000,BC38*0.05,0)</f>
        <v>0</v>
      </c>
      <c r="BF38" s="2">
        <f>BC38+BD38+BE38</f>
        <v>0</v>
      </c>
      <c r="BG38" s="6" t="b">
        <f>IF($B38='Look Up'!$A$5,$H38)</f>
        <v>0</v>
      </c>
      <c r="BH38" s="6" t="b">
        <f>IF($B38='Look Up'!$A$6,$H38)</f>
        <v>0</v>
      </c>
      <c r="BI38" s="6" t="b">
        <f>IF($B38='Look Up'!$A$7,$H38)</f>
        <v>0</v>
      </c>
      <c r="BJ38" s="6" t="b">
        <f>IF($B38='Look Up'!$A$7,$H38)</f>
        <v>0</v>
      </c>
      <c r="BL38" s="6">
        <f>IF($B38='[7]Look Up'!$A$6,$C38*$H38,0)+IF($B38='[7]Look Up'!$A$7,$C38*$H38,0)</f>
        <v>0</v>
      </c>
      <c r="BM38" s="6">
        <f>IF($B38='[7]Look Up'!$A$6,$D38*$H38,0)+IF($B38='[7]Look Up'!$A$7,$D38*$H38,0)</f>
        <v>0</v>
      </c>
      <c r="BN38" s="6">
        <f>IF($B38='[7]Look Up'!$A$6,$E38*$H38,0)+IF($B38='[7]Look Up'!$A$7,$E38*$H38,0)</f>
        <v>0</v>
      </c>
      <c r="BO38" s="6">
        <f>IF($B38='[7]Look Up'!$A$6,$F38*$H38,0)+IF($B38='[7]Look Up'!$A$7,$F38*$H38,0)</f>
        <v>0</v>
      </c>
      <c r="BQ38" s="6">
        <f>$C38*'Study Information &amp; rates'!$B$101*IF('Study Information &amp; rates'!$B$44='Study Information &amp; rates'!$V$12,(SUM($H38:$AP38)*1.287),(SUM($H38:$AP38)))</f>
        <v>0</v>
      </c>
      <c r="BR38" s="6">
        <f>$D38*'Study Information &amp; rates'!$C$101*IF('Study Information &amp; rates'!$B$44='Study Information &amp; rates'!$V$12,(SUM($H38:$AP38)*1.287),(SUM($H38:$AP38)))</f>
        <v>0</v>
      </c>
      <c r="BS38" s="6">
        <f>$E38*'Study Information &amp; rates'!$D$101*IF('Study Information &amp; rates'!$B$44='Study Information &amp; rates'!$V$12,(SUM($H38:$AP38)*1.287),(SUM($H38:$AP38)))</f>
        <v>0</v>
      </c>
      <c r="BT38" s="6">
        <f>$F38*'Study Information &amp; rates'!$F$101*IF('Study Information &amp; rates'!$B$44='Study Information &amp; rates'!$V$12,(SUM($H38:$AP38)*1.287),(SUM($H38:$AP38)))</f>
        <v>0</v>
      </c>
    </row>
    <row r="39" spans="1:72">
      <c r="A39" s="8"/>
      <c r="B39" s="8"/>
      <c r="C39" s="326"/>
      <c r="D39" s="326"/>
      <c r="E39" s="326"/>
      <c r="F39" s="326"/>
      <c r="G39" s="532">
        <f>IF(ISERROR((C39*'Study Information &amp; rates'!$B$101+D39*'Study Information &amp; rates'!$C$101+E39*'Study Information &amp; rates'!$D$101+F39*'Study Information &amp; rates'!$F$101)),0,(C39*'Study Information &amp; rates'!$B$101+D39*'Study Information &amp; rates'!$C$101+E39*'Study Information &amp; rates'!$D$101+F39*'Study Information &amp; rates'!$F$101))</f>
        <v>0</v>
      </c>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428"/>
      <c r="AR39" s="440">
        <f>(SUM(H39:AP39))*G39</f>
        <v>0</v>
      </c>
      <c r="AS39" s="440">
        <f>IF('Study Information &amp; rates'!$B$44="Yes",AR39*0.287,0)</f>
        <v>0</v>
      </c>
      <c r="AT39" s="440">
        <f>IF('Study Information &amp; rates'!$B$44="No",0,AR39*0.05)</f>
        <v>0</v>
      </c>
      <c r="AU39" s="440">
        <f>AR39+AS39+AT39</f>
        <v>0</v>
      </c>
      <c r="AV39" s="440">
        <f>'Set-up and other costs'!$B$18*AU39</f>
        <v>0</v>
      </c>
      <c r="BC39" s="2">
        <f>H39*G39</f>
        <v>0</v>
      </c>
      <c r="BD39" s="2">
        <f>IF('Study Information &amp; rates'!$B$44='Study Information &amp; rates'!$V$12,BC39*0.287,0)</f>
        <v>0</v>
      </c>
      <c r="BE39" s="2">
        <f>IF((Reconciliation!$C$5*1.287)&gt;5000,BC39*0.05,0)</f>
        <v>0</v>
      </c>
      <c r="BF39" s="2">
        <f>BC39+BD39+BE39</f>
        <v>0</v>
      </c>
      <c r="BG39" s="6" t="b">
        <f>IF($B39='Look Up'!$A$5,$H39)</f>
        <v>0</v>
      </c>
      <c r="BH39" s="6" t="b">
        <f>IF($B39='Look Up'!$A$6,$H39)</f>
        <v>0</v>
      </c>
      <c r="BI39" s="6" t="b">
        <f>IF($B39='Look Up'!$A$7,$H39)</f>
        <v>0</v>
      </c>
      <c r="BJ39" s="6" t="b">
        <f>IF($B39='Look Up'!$A$7,$H39)</f>
        <v>0</v>
      </c>
      <c r="BL39" s="6">
        <f>IF($B39='[7]Look Up'!$A$6,$C39*$H39,0)+IF($B39='[7]Look Up'!$A$7,$C39*$H39,0)</f>
        <v>0</v>
      </c>
      <c r="BM39" s="6">
        <f>IF($B39='[7]Look Up'!$A$6,$D39*$H39,0)+IF($B39='[7]Look Up'!$A$7,$D39*$H39,0)</f>
        <v>0</v>
      </c>
      <c r="BN39" s="6">
        <f>IF($B39='[7]Look Up'!$A$6,$E39*$H39,0)+IF($B39='[7]Look Up'!$A$7,$E39*$H39,0)</f>
        <v>0</v>
      </c>
      <c r="BO39" s="6">
        <f>IF($B39='[7]Look Up'!$A$6,$F39*$H39,0)+IF($B39='[7]Look Up'!$A$7,$F39*$H39,0)</f>
        <v>0</v>
      </c>
      <c r="BQ39" s="6">
        <f>$C39*'Study Information &amp; rates'!$B$101*IF('Study Information &amp; rates'!$B$44='Study Information &amp; rates'!$V$12,(SUM($H39:$AP39)*1.287),(SUM($H39:$AP39)))</f>
        <v>0</v>
      </c>
      <c r="BR39" s="6">
        <f>$D39*'Study Information &amp; rates'!$C$101*IF('Study Information &amp; rates'!$B$44='Study Information &amp; rates'!$V$12,(SUM($H39:$AP39)*1.287),(SUM($H39:$AP39)))</f>
        <v>0</v>
      </c>
      <c r="BS39" s="6">
        <f>$E39*'Study Information &amp; rates'!$D$101*IF('Study Information &amp; rates'!$B$44='Study Information &amp; rates'!$V$12,(SUM($H39:$AP39)*1.287),(SUM($H39:$AP39)))</f>
        <v>0</v>
      </c>
      <c r="BT39" s="6">
        <f>$F39*'Study Information &amp; rates'!$F$101*IF('Study Information &amp; rates'!$B$44='Study Information &amp; rates'!$V$12,(SUM($H39:$AP39)*1.287),(SUM($H39:$AP39)))</f>
        <v>0</v>
      </c>
    </row>
    <row r="40" spans="1:72">
      <c r="A40" s="8"/>
      <c r="B40" s="8"/>
      <c r="C40" s="326"/>
      <c r="D40" s="326"/>
      <c r="E40" s="326"/>
      <c r="F40" s="326"/>
      <c r="G40" s="532">
        <f>IF(ISERROR((C40*'Study Information &amp; rates'!$B$101+D40*'Study Information &amp; rates'!$C$101+E40*'Study Information &amp; rates'!$D$101+F40*'Study Information &amp; rates'!$F$101)),0,(C40*'Study Information &amp; rates'!$B$101+D40*'Study Information &amp; rates'!$C$101+E40*'Study Information &amp; rates'!$D$101+F40*'Study Information &amp; rates'!$F$101))</f>
        <v>0</v>
      </c>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428"/>
      <c r="AR40" s="440">
        <f>(SUM(H40:AP40))*G40</f>
        <v>0</v>
      </c>
      <c r="AS40" s="440">
        <f>IF('Study Information &amp; rates'!$B$44="Yes",AR40*0.287,0)</f>
        <v>0</v>
      </c>
      <c r="AT40" s="440">
        <f>IF('Study Information &amp; rates'!$B$44="No",0,AR40*0.05)</f>
        <v>0</v>
      </c>
      <c r="AU40" s="440">
        <f>AR40+AS40+AT40</f>
        <v>0</v>
      </c>
      <c r="AV40" s="440">
        <f>'Set-up and other costs'!$B$18*AU40</f>
        <v>0</v>
      </c>
      <c r="BC40" s="2">
        <f>H40*G40</f>
        <v>0</v>
      </c>
      <c r="BD40" s="2">
        <f>IF('Study Information &amp; rates'!$B$44='Study Information &amp; rates'!$V$12,BC40*0.287,0)</f>
        <v>0</v>
      </c>
      <c r="BE40" s="2">
        <f>IF((Reconciliation!$C$5*1.287)&gt;5000,BC40*0.05,0)</f>
        <v>0</v>
      </c>
      <c r="BF40" s="2">
        <f>BC40+BD40+BE40</f>
        <v>0</v>
      </c>
      <c r="BG40" s="6" t="b">
        <f>IF($B40='Look Up'!$A$5,$H40)</f>
        <v>0</v>
      </c>
      <c r="BH40" s="6" t="b">
        <f>IF($B40='Look Up'!$A$6,$H40)</f>
        <v>0</v>
      </c>
      <c r="BI40" s="6" t="b">
        <f>IF($B40='Look Up'!$A$7,$H40)</f>
        <v>0</v>
      </c>
      <c r="BJ40" s="6" t="b">
        <f>IF($B40='Look Up'!$A$7,$H40)</f>
        <v>0</v>
      </c>
      <c r="BL40" s="6">
        <f>IF($B40='[7]Look Up'!$A$6,$C40*$H40,0)+IF($B40='[7]Look Up'!$A$7,$C40*$H40,0)</f>
        <v>0</v>
      </c>
      <c r="BM40" s="6">
        <f>IF($B40='[7]Look Up'!$A$6,$D40*$H40,0)+IF($B40='[7]Look Up'!$A$7,$D40*$H40,0)</f>
        <v>0</v>
      </c>
      <c r="BN40" s="6">
        <f>IF($B40='[7]Look Up'!$A$6,$E40*$H40,0)+IF($B40='[7]Look Up'!$A$7,$E40*$H40,0)</f>
        <v>0</v>
      </c>
      <c r="BO40" s="6">
        <f>IF($B40='[7]Look Up'!$A$6,$F40*$H40,0)+IF($B40='[7]Look Up'!$A$7,$F40*$H40,0)</f>
        <v>0</v>
      </c>
      <c r="BQ40" s="6">
        <f>$C40*'Study Information &amp; rates'!$B$101*IF('Study Information &amp; rates'!$B$44='Study Information &amp; rates'!$V$12,(SUM($H40:$AP40)*1.287),(SUM($H40:$AP40)))</f>
        <v>0</v>
      </c>
      <c r="BR40" s="6">
        <f>$D40*'Study Information &amp; rates'!$C$101*IF('Study Information &amp; rates'!$B$44='Study Information &amp; rates'!$V$12,(SUM($H40:$AP40)*1.287),(SUM($H40:$AP40)))</f>
        <v>0</v>
      </c>
      <c r="BS40" s="6">
        <f>$E40*'Study Information &amp; rates'!$D$101*IF('Study Information &amp; rates'!$B$44='Study Information &amp; rates'!$V$12,(SUM($H40:$AP40)*1.287),(SUM($H40:$AP40)))</f>
        <v>0</v>
      </c>
      <c r="BT40" s="6">
        <f>$F40*'Study Information &amp; rates'!$F$101*IF('Study Information &amp; rates'!$B$44='Study Information &amp; rates'!$V$12,(SUM($H40:$AP40)*1.287),(SUM($H40:$AP40)))</f>
        <v>0</v>
      </c>
    </row>
    <row r="41" spans="1:72">
      <c r="A41" s="8"/>
      <c r="B41" s="8"/>
      <c r="C41" s="326"/>
      <c r="D41" s="326"/>
      <c r="E41" s="326"/>
      <c r="F41" s="326"/>
      <c r="G41" s="532">
        <f>IF(ISERROR((C41*'Study Information &amp; rates'!$B$101+D41*'Study Information &amp; rates'!$C$101+E41*'Study Information &amp; rates'!$D$101+F41*'Study Information &amp; rates'!$F$101)),0,(C41*'Study Information &amp; rates'!$B$101+D41*'Study Information &amp; rates'!$C$101+E41*'Study Information &amp; rates'!$D$101+F41*'Study Information &amp; rates'!$F$101))</f>
        <v>0</v>
      </c>
      <c r="H41" s="32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428"/>
      <c r="AR41" s="440">
        <f>(SUM(H41:AP41))*G41</f>
        <v>0</v>
      </c>
      <c r="AS41" s="440">
        <f>IF('Study Information &amp; rates'!$B$44="Yes",AR41*0.287,0)</f>
        <v>0</v>
      </c>
      <c r="AT41" s="440">
        <f>IF('Study Information &amp; rates'!$B$44="No",0,AR41*0.05)</f>
        <v>0</v>
      </c>
      <c r="AU41" s="440">
        <f>AR41+AS41+AT41</f>
        <v>0</v>
      </c>
      <c r="AV41" s="440">
        <f>'Set-up and other costs'!$B$18*AU41</f>
        <v>0</v>
      </c>
      <c r="BC41" s="2">
        <f>H41*G41</f>
        <v>0</v>
      </c>
      <c r="BD41" s="2">
        <f>IF('Study Information &amp; rates'!$B$44='Study Information &amp; rates'!$V$12,BC41*0.287,0)</f>
        <v>0</v>
      </c>
      <c r="BE41" s="2">
        <f>IF((Reconciliation!$C$5*1.287)&gt;5000,BC41*0.05,0)</f>
        <v>0</v>
      </c>
      <c r="BF41" s="2">
        <f>BC41+BD41+BE41</f>
        <v>0</v>
      </c>
      <c r="BG41" s="6" t="b">
        <f>IF($B41='Look Up'!$A$5,$H41)</f>
        <v>0</v>
      </c>
      <c r="BH41" s="6" t="b">
        <f>IF($B41='Look Up'!$A$6,$H41)</f>
        <v>0</v>
      </c>
      <c r="BI41" s="6" t="b">
        <f>IF($B41='Look Up'!$A$7,$H41)</f>
        <v>0</v>
      </c>
      <c r="BJ41" s="6" t="b">
        <f>IF($B41='Look Up'!$A$7,$H41)</f>
        <v>0</v>
      </c>
      <c r="BL41" s="6">
        <f>IF($B41='[7]Look Up'!$A$6,$C41*$H41,0)+IF($B41='[7]Look Up'!$A$7,$C41*$H41,0)</f>
        <v>0</v>
      </c>
      <c r="BM41" s="6">
        <f>IF($B41='[7]Look Up'!$A$6,$D41*$H41,0)+IF($B41='[7]Look Up'!$A$7,$D41*$H41,0)</f>
        <v>0</v>
      </c>
      <c r="BN41" s="6">
        <f>IF($B41='[7]Look Up'!$A$6,$E41*$H41,0)+IF($B41='[7]Look Up'!$A$7,$E41*$H41,0)</f>
        <v>0</v>
      </c>
      <c r="BO41" s="6">
        <f>IF($B41='[7]Look Up'!$A$6,$F41*$H41,0)+IF($B41='[7]Look Up'!$A$7,$F41*$H41,0)</f>
        <v>0</v>
      </c>
      <c r="BQ41" s="6">
        <f>$C41*'Study Information &amp; rates'!$B$101*IF('Study Information &amp; rates'!$B$44='Study Information &amp; rates'!$V$12,(SUM($H41:$AP41)*1.287),(SUM($H41:$AP41)))</f>
        <v>0</v>
      </c>
      <c r="BR41" s="6">
        <f>$D41*'Study Information &amp; rates'!$C$101*IF('Study Information &amp; rates'!$B$44='Study Information &amp; rates'!$V$12,(SUM($H41:$AP41)*1.287),(SUM($H41:$AP41)))</f>
        <v>0</v>
      </c>
      <c r="BS41" s="6">
        <f>$E41*'Study Information &amp; rates'!$D$101*IF('Study Information &amp; rates'!$B$44='Study Information &amp; rates'!$V$12,(SUM($H41:$AP41)*1.287),(SUM($H41:$AP41)))</f>
        <v>0</v>
      </c>
      <c r="BT41" s="6">
        <f>$F41*'Study Information &amp; rates'!$F$101*IF('Study Information &amp; rates'!$B$44='Study Information &amp; rates'!$V$12,(SUM($H41:$AP41)*1.287),(SUM($H41:$AP41)))</f>
        <v>0</v>
      </c>
    </row>
    <row r="42" spans="1:72">
      <c r="A42" s="8"/>
      <c r="B42" s="8"/>
      <c r="C42" s="326"/>
      <c r="D42" s="326"/>
      <c r="E42" s="326"/>
      <c r="F42" s="326"/>
      <c r="G42" s="532">
        <f>IF(ISERROR((C42*'Study Information &amp; rates'!$B$101+D42*'Study Information &amp; rates'!$C$101+E42*'Study Information &amp; rates'!$D$101+F42*'Study Information &amp; rates'!$F$101)),0,(C42*'Study Information &amp; rates'!$B$101+D42*'Study Information &amp; rates'!$C$101+E42*'Study Information &amp; rates'!$D$101+F42*'Study Information &amp; rates'!$F$101))</f>
        <v>0</v>
      </c>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428"/>
      <c r="AR42" s="440">
        <f>(SUM(H42:AP42))*G42</f>
        <v>0</v>
      </c>
      <c r="AS42" s="440">
        <f>IF('Study Information &amp; rates'!$B$44="Yes",AR42*0.287,0)</f>
        <v>0</v>
      </c>
      <c r="AT42" s="440">
        <f>IF('Study Information &amp; rates'!$B$44="No",0,AR42*0.05)</f>
        <v>0</v>
      </c>
      <c r="AU42" s="440">
        <f>AR42+AS42+AT42</f>
        <v>0</v>
      </c>
      <c r="AV42" s="440">
        <f>'Set-up and other costs'!$B$18*AU42</f>
        <v>0</v>
      </c>
      <c r="BC42" s="2">
        <f>H42*G42</f>
        <v>0</v>
      </c>
      <c r="BD42" s="2">
        <f>IF('Study Information &amp; rates'!$B$44='Study Information &amp; rates'!$V$12,BC42*0.287,0)</f>
        <v>0</v>
      </c>
      <c r="BE42" s="2">
        <f>IF((Reconciliation!$C$5*1.287)&gt;5000,BC42*0.05,0)</f>
        <v>0</v>
      </c>
      <c r="BF42" s="2">
        <f>BC42+BD42+BE42</f>
        <v>0</v>
      </c>
      <c r="BG42" s="6" t="b">
        <f>IF($B42='Look Up'!$A$5,$H42)</f>
        <v>0</v>
      </c>
      <c r="BH42" s="6" t="b">
        <f>IF($B42='Look Up'!$A$6,$H42)</f>
        <v>0</v>
      </c>
      <c r="BI42" s="6" t="b">
        <f>IF($B42='Look Up'!$A$7,$H42)</f>
        <v>0</v>
      </c>
      <c r="BJ42" s="6" t="b">
        <f>IF($B42='Look Up'!$A$7,$H42)</f>
        <v>0</v>
      </c>
      <c r="BL42" s="6">
        <f>IF($B42='[7]Look Up'!$A$6,$C42*$H42,0)+IF($B42='[7]Look Up'!$A$7,$C42*$H42,0)</f>
        <v>0</v>
      </c>
      <c r="BM42" s="6">
        <f>IF($B42='[7]Look Up'!$A$6,$D42*$H42,0)+IF($B42='[7]Look Up'!$A$7,$D42*$H42,0)</f>
        <v>0</v>
      </c>
      <c r="BN42" s="6">
        <f>IF($B42='[7]Look Up'!$A$6,$E42*$H42,0)+IF($B42='[7]Look Up'!$A$7,$E42*$H42,0)</f>
        <v>0</v>
      </c>
      <c r="BO42" s="6">
        <f>IF($B42='[7]Look Up'!$A$6,$F42*$H42,0)+IF($B42='[7]Look Up'!$A$7,$F42*$H42,0)</f>
        <v>0</v>
      </c>
      <c r="BQ42" s="6">
        <f>$C42*'Study Information &amp; rates'!$B$101*IF('Study Information &amp; rates'!$B$44='Study Information &amp; rates'!$V$12,(SUM($H42:$AP42)*1.287),(SUM($H42:$AP42)))</f>
        <v>0</v>
      </c>
      <c r="BR42" s="6">
        <f>$D42*'Study Information &amp; rates'!$C$101*IF('Study Information &amp; rates'!$B$44='Study Information &amp; rates'!$V$12,(SUM($H42:$AP42)*1.287),(SUM($H42:$AP42)))</f>
        <v>0</v>
      </c>
      <c r="BS42" s="6">
        <f>$E42*'Study Information &amp; rates'!$D$101*IF('Study Information &amp; rates'!$B$44='Study Information &amp; rates'!$V$12,(SUM($H42:$AP42)*1.287),(SUM($H42:$AP42)))</f>
        <v>0</v>
      </c>
      <c r="BT42" s="6">
        <f>$F42*'Study Information &amp; rates'!$F$101*IF('Study Information &amp; rates'!$B$44='Study Information &amp; rates'!$V$12,(SUM($H42:$AP42)*1.287),(SUM($H42:$AP42)))</f>
        <v>0</v>
      </c>
    </row>
    <row r="43" spans="1:72">
      <c r="A43" s="8"/>
      <c r="B43" s="8"/>
      <c r="C43" s="326"/>
      <c r="D43" s="326"/>
      <c r="E43" s="326"/>
      <c r="F43" s="326"/>
      <c r="G43" s="532">
        <f>IF(ISERROR((C43*'Study Information &amp; rates'!$B$101+D43*'Study Information &amp; rates'!$C$101+E43*'Study Information &amp; rates'!$D$101+F43*'Study Information &amp; rates'!$F$101)),0,(C43*'Study Information &amp; rates'!$B$101+D43*'Study Information &amp; rates'!$C$101+E43*'Study Information &amp; rates'!$D$101+F43*'Study Information &amp; rates'!$F$101))</f>
        <v>0</v>
      </c>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428"/>
      <c r="AR43" s="440">
        <f>(SUM(H43:AP43))*G43</f>
        <v>0</v>
      </c>
      <c r="AS43" s="440">
        <f>IF('Study Information &amp; rates'!$B$44="Yes",AR43*0.287,0)</f>
        <v>0</v>
      </c>
      <c r="AT43" s="440">
        <f>IF('Study Information &amp; rates'!$B$44="No",0,AR43*0.05)</f>
        <v>0</v>
      </c>
      <c r="AU43" s="440">
        <f>AR43+AS43+AT43</f>
        <v>0</v>
      </c>
      <c r="AV43" s="440">
        <f>'Set-up and other costs'!$B$18*AU43</f>
        <v>0</v>
      </c>
      <c r="BC43" s="2">
        <f>H43*G43</f>
        <v>0</v>
      </c>
      <c r="BD43" s="2">
        <f>IF('Study Information &amp; rates'!$B$44='Study Information &amp; rates'!$V$12,BC43*0.287,0)</f>
        <v>0</v>
      </c>
      <c r="BE43" s="2">
        <f>IF((Reconciliation!$C$5*1.287)&gt;5000,BC43*0.05,0)</f>
        <v>0</v>
      </c>
      <c r="BF43" s="2">
        <f>BC43+BD43+BE43</f>
        <v>0</v>
      </c>
      <c r="BG43" s="6" t="b">
        <f>IF($B43='Look Up'!$A$5,$H43)</f>
        <v>0</v>
      </c>
      <c r="BH43" s="6" t="b">
        <f>IF($B43='Look Up'!$A$6,$H43)</f>
        <v>0</v>
      </c>
      <c r="BI43" s="6" t="b">
        <f>IF($B43='Look Up'!$A$7,$H43)</f>
        <v>0</v>
      </c>
      <c r="BJ43" s="6" t="b">
        <f>IF($B43='Look Up'!$A$7,$H43)</f>
        <v>0</v>
      </c>
      <c r="BL43" s="6">
        <f>IF($B43='[7]Look Up'!$A$6,$C43*$H43,0)+IF($B43='[7]Look Up'!$A$7,$C43*$H43,0)</f>
        <v>0</v>
      </c>
      <c r="BM43" s="6">
        <f>IF($B43='[7]Look Up'!$A$6,$D43*$H43,0)+IF($B43='[7]Look Up'!$A$7,$D43*$H43,0)</f>
        <v>0</v>
      </c>
      <c r="BN43" s="6">
        <f>IF($B43='[7]Look Up'!$A$6,$E43*$H43,0)+IF($B43='[7]Look Up'!$A$7,$E43*$H43,0)</f>
        <v>0</v>
      </c>
      <c r="BO43" s="6">
        <f>IF($B43='[7]Look Up'!$A$6,$F43*$H43,0)+IF($B43='[7]Look Up'!$A$7,$F43*$H43,0)</f>
        <v>0</v>
      </c>
      <c r="BQ43" s="6">
        <f>$C43*'Study Information &amp; rates'!$B$101*IF('Study Information &amp; rates'!$B$44='Study Information &amp; rates'!$V$12,(SUM($H43:$AP43)*1.287),(SUM($H43:$AP43)))</f>
        <v>0</v>
      </c>
      <c r="BR43" s="6">
        <f>$D43*'Study Information &amp; rates'!$C$101*IF('Study Information &amp; rates'!$B$44='Study Information &amp; rates'!$V$12,(SUM($H43:$AP43)*1.287),(SUM($H43:$AP43)))</f>
        <v>0</v>
      </c>
      <c r="BS43" s="6">
        <f>$E43*'Study Information &amp; rates'!$D$101*IF('Study Information &amp; rates'!$B$44='Study Information &amp; rates'!$V$12,(SUM($H43:$AP43)*1.287),(SUM($H43:$AP43)))</f>
        <v>0</v>
      </c>
      <c r="BT43" s="6">
        <f>$F43*'Study Information &amp; rates'!$F$101*IF('Study Information &amp; rates'!$B$44='Study Information &amp; rates'!$V$12,(SUM($H43:$AP43)*1.287),(SUM($H43:$AP43)))</f>
        <v>0</v>
      </c>
    </row>
    <row r="44" spans="1:72">
      <c r="A44" s="8"/>
      <c r="B44" s="8"/>
      <c r="C44" s="326"/>
      <c r="D44" s="326"/>
      <c r="E44" s="326"/>
      <c r="F44" s="326"/>
      <c r="G44" s="532">
        <f>IF(ISERROR((C44*'Study Information &amp; rates'!$B$101+D44*'Study Information &amp; rates'!$C$101+E44*'Study Information &amp; rates'!$D$101+F44*'Study Information &amp; rates'!$F$101)),0,(C44*'Study Information &amp; rates'!$B$101+D44*'Study Information &amp; rates'!$C$101+E44*'Study Information &amp; rates'!$D$101+F44*'Study Information &amp; rates'!$F$101))</f>
        <v>0</v>
      </c>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428"/>
      <c r="AR44" s="440">
        <f>(SUM(H44:AP44))*G44</f>
        <v>0</v>
      </c>
      <c r="AS44" s="440">
        <f>IF('Study Information &amp; rates'!$B$44="Yes",AR44*0.287,0)</f>
        <v>0</v>
      </c>
      <c r="AT44" s="440">
        <f>IF('Study Information &amp; rates'!$B$44="No",0,AR44*0.05)</f>
        <v>0</v>
      </c>
      <c r="AU44" s="440">
        <f>AR44+AS44+AT44</f>
        <v>0</v>
      </c>
      <c r="AV44" s="440">
        <f>'Set-up and other costs'!$B$18*AU44</f>
        <v>0</v>
      </c>
      <c r="AW44" s="238"/>
      <c r="BC44" s="2">
        <f>H44*G44</f>
        <v>0</v>
      </c>
      <c r="BD44" s="2">
        <f>IF('Study Information &amp; rates'!$B$44='Study Information &amp; rates'!$V$12,BC44*0.287,0)</f>
        <v>0</v>
      </c>
      <c r="BE44" s="2">
        <f>IF((Reconciliation!$C$5*1.287)&gt;5000,BC44*0.05,0)</f>
        <v>0</v>
      </c>
      <c r="BF44" s="2">
        <f>BC44+BD44+BE44</f>
        <v>0</v>
      </c>
      <c r="BG44" s="6" t="b">
        <f>IF($B44='Look Up'!$A$5,$H44)</f>
        <v>0</v>
      </c>
      <c r="BH44" s="6" t="b">
        <f>IF($B44='Look Up'!$A$6,$H44)</f>
        <v>0</v>
      </c>
      <c r="BI44" s="6" t="b">
        <f>IF($B44='Look Up'!$A$7,$H44)</f>
        <v>0</v>
      </c>
      <c r="BJ44" s="6" t="b">
        <f>IF($B44='Look Up'!$A$7,$H44)</f>
        <v>0</v>
      </c>
      <c r="BL44" s="6">
        <f>IF($B44='[7]Look Up'!$A$6,$C44*$H44,0)+IF($B44='[7]Look Up'!$A$7,$C44*$H44,0)</f>
        <v>0</v>
      </c>
      <c r="BM44" s="6">
        <f>IF($B44='[7]Look Up'!$A$6,$D44*$H44,0)+IF($B44='[7]Look Up'!$A$7,$D44*$H44,0)</f>
        <v>0</v>
      </c>
      <c r="BN44" s="6">
        <f>IF($B44='[7]Look Up'!$A$6,$E44*$H44,0)+IF($B44='[7]Look Up'!$A$7,$E44*$H44,0)</f>
        <v>0</v>
      </c>
      <c r="BO44" s="6">
        <f>IF($B44='[7]Look Up'!$A$6,$F44*$H44,0)+IF($B44='[7]Look Up'!$A$7,$F44*$H44,0)</f>
        <v>0</v>
      </c>
      <c r="BQ44" s="6">
        <f>$C44*'Study Information &amp; rates'!$B$101*IF('Study Information &amp; rates'!$B$44='Study Information &amp; rates'!$V$12,(SUM($H44:$AP44)*1.287),(SUM($H44:$AP44)))</f>
        <v>0</v>
      </c>
      <c r="BR44" s="6">
        <f>$D44*'Study Information &amp; rates'!$C$101*IF('Study Information &amp; rates'!$B$44='Study Information &amp; rates'!$V$12,(SUM($H44:$AP44)*1.287),(SUM($H44:$AP44)))</f>
        <v>0</v>
      </c>
      <c r="BS44" s="6">
        <f>$E44*'Study Information &amp; rates'!$D$101*IF('Study Information &amp; rates'!$B$44='Study Information &amp; rates'!$V$12,(SUM($H44:$AP44)*1.287),(SUM($H44:$AP44)))</f>
        <v>0</v>
      </c>
      <c r="BT44" s="6">
        <f>$F44*'Study Information &amp; rates'!$F$101*IF('Study Information &amp; rates'!$B$44='Study Information &amp; rates'!$V$12,(SUM($H44:$AP44)*1.287),(SUM($H44:$AP44)))</f>
        <v>0</v>
      </c>
    </row>
    <row r="45" spans="1:72">
      <c r="A45" s="8"/>
      <c r="B45" s="8"/>
      <c r="C45" s="326"/>
      <c r="D45" s="326"/>
      <c r="E45" s="326"/>
      <c r="F45" s="326"/>
      <c r="G45" s="532">
        <f>IF(ISERROR((C45*'Study Information &amp; rates'!$B$101+D45*'Study Information &amp; rates'!$C$101+E45*'Study Information &amp; rates'!$D$101+F45*'Study Information &amp; rates'!$F$101)),0,(C45*'Study Information &amp; rates'!$B$101+D45*'Study Information &amp; rates'!$C$101+E45*'Study Information &amp; rates'!$D$101+F45*'Study Information &amp; rates'!$F$101))</f>
        <v>0</v>
      </c>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428"/>
      <c r="AR45" s="440">
        <f>(SUM(H45:AP45))*G45</f>
        <v>0</v>
      </c>
      <c r="AS45" s="440">
        <f>IF('Study Information &amp; rates'!$B$44="Yes",AR45*0.287,0)</f>
        <v>0</v>
      </c>
      <c r="AT45" s="440">
        <f>IF('Study Information &amp; rates'!$B$44="No",0,AR45*0.05)</f>
        <v>0</v>
      </c>
      <c r="AU45" s="440">
        <f>AR45+AS45+AT45</f>
        <v>0</v>
      </c>
      <c r="AV45" s="440">
        <f>'Set-up and other costs'!$B$18*AU45</f>
        <v>0</v>
      </c>
      <c r="BC45" s="2">
        <f>H45*G45</f>
        <v>0</v>
      </c>
      <c r="BD45" s="2">
        <f>IF('Study Information &amp; rates'!$B$44='Study Information &amp; rates'!$V$12,BC45*0.287,0)</f>
        <v>0</v>
      </c>
      <c r="BE45" s="2">
        <f>IF((Reconciliation!$C$5*1.287)&gt;5000,BC45*0.05,0)</f>
        <v>0</v>
      </c>
      <c r="BF45" s="2">
        <f>BC45+BD45+BE45</f>
        <v>0</v>
      </c>
      <c r="BG45" s="6" t="b">
        <f>IF($B45='Look Up'!$A$5,$H45)</f>
        <v>0</v>
      </c>
      <c r="BH45" s="6" t="b">
        <f>IF($B45='Look Up'!$A$6,$H45)</f>
        <v>0</v>
      </c>
      <c r="BI45" s="6" t="b">
        <f>IF($B45='Look Up'!$A$7,$H45)</f>
        <v>0</v>
      </c>
      <c r="BJ45" s="6" t="b">
        <f>IF($B45='Look Up'!$A$7,$H45)</f>
        <v>0</v>
      </c>
      <c r="BL45" s="6">
        <f>IF($B45='[7]Look Up'!$A$6,$C45*$H45,0)+IF($B45='[7]Look Up'!$A$7,$C45*$H45,0)</f>
        <v>0</v>
      </c>
      <c r="BM45" s="6">
        <f>IF($B45='[7]Look Up'!$A$6,$D45*$H45,0)+IF($B45='[7]Look Up'!$A$7,$D45*$H45,0)</f>
        <v>0</v>
      </c>
      <c r="BN45" s="6">
        <f>IF($B45='[7]Look Up'!$A$6,$E45*$H45,0)+IF($B45='[7]Look Up'!$A$7,$E45*$H45,0)</f>
        <v>0</v>
      </c>
      <c r="BO45" s="6">
        <f>IF($B45='[7]Look Up'!$A$6,$F45*$H45,0)+IF($B45='[7]Look Up'!$A$7,$F45*$H45,0)</f>
        <v>0</v>
      </c>
      <c r="BQ45" s="6">
        <f>$C45*'Study Information &amp; rates'!$B$101*IF('Study Information &amp; rates'!$B$44='Study Information &amp; rates'!$V$12,(SUM($H45:$AP45)*1.287),(SUM($H45:$AP45)))</f>
        <v>0</v>
      </c>
      <c r="BR45" s="6">
        <f>$D45*'Study Information &amp; rates'!$C$101*IF('Study Information &amp; rates'!$B$44='Study Information &amp; rates'!$V$12,(SUM($H45:$AP45)*1.287),(SUM($H45:$AP45)))</f>
        <v>0</v>
      </c>
      <c r="BS45" s="6">
        <f>$E45*'Study Information &amp; rates'!$D$101*IF('Study Information &amp; rates'!$B$44='Study Information &amp; rates'!$V$12,(SUM($H45:$AP45)*1.287),(SUM($H45:$AP45)))</f>
        <v>0</v>
      </c>
      <c r="BT45" s="6">
        <f>$F45*'Study Information &amp; rates'!$F$101*IF('Study Information &amp; rates'!$B$44='Study Information &amp; rates'!$V$12,(SUM($H45:$AP45)*1.287),(SUM($H45:$AP45)))</f>
        <v>0</v>
      </c>
    </row>
    <row r="46" spans="1:72" s="13" customFormat="1">
      <c r="A46" s="8"/>
      <c r="B46" s="8"/>
      <c r="C46" s="326"/>
      <c r="D46" s="326"/>
      <c r="E46" s="326"/>
      <c r="F46" s="326"/>
      <c r="G46" s="532"/>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428"/>
      <c r="AR46" s="440">
        <f>(SUM(H46:AP46))*G46</f>
        <v>0</v>
      </c>
      <c r="AS46" s="440">
        <f>IF('Study Information &amp; rates'!$B$44="Yes",AR46*0.287,0)</f>
        <v>0</v>
      </c>
      <c r="AT46" s="440">
        <f>IF('Study Information &amp; rates'!$B$44="No",0,AR46*0.05)</f>
        <v>0</v>
      </c>
      <c r="AU46" s="440">
        <f>AR46+AS46+AT46</f>
        <v>0</v>
      </c>
      <c r="AV46" s="440">
        <f>'Set-up and other costs'!$B$18*AU46</f>
        <v>0</v>
      </c>
      <c r="BC46" s="2">
        <f>H46*G46</f>
        <v>0</v>
      </c>
      <c r="BD46" s="2">
        <f>IF('Study Information &amp; rates'!$B$44='Study Information &amp; rates'!$V$12,BC46*0.287,0)</f>
        <v>0</v>
      </c>
      <c r="BE46" s="2">
        <f>IF((Reconciliation!$C$5*1.287)&gt;5000,BC46*0.05,0)</f>
        <v>0</v>
      </c>
      <c r="BF46" s="2">
        <f>BC46+BD46+BE46</f>
        <v>0</v>
      </c>
      <c r="BG46" s="6" t="b">
        <f>IF($B46='Look Up'!$A$5,$H46)</f>
        <v>0</v>
      </c>
      <c r="BH46" s="6" t="b">
        <f>IF($B46='Look Up'!$A$6,$H46)</f>
        <v>0</v>
      </c>
      <c r="BI46" s="6" t="b">
        <f>IF($B46='Look Up'!$A$7,$H46)</f>
        <v>0</v>
      </c>
      <c r="BJ46" s="6" t="b">
        <f>IF($B46='Look Up'!$A$7,$H46)</f>
        <v>0</v>
      </c>
      <c r="BL46" s="13">
        <f>IF($B46='[7]Look Up'!$A$6,$C46*$H46,0)+IF($B46='[7]Look Up'!$A$7,$C46*$H46,0)</f>
        <v>0</v>
      </c>
      <c r="BM46" s="13">
        <f>IF($B46='[7]Look Up'!$A$6,$D46*$H46,0)+IF($B46='[7]Look Up'!$A$7,$D46*$H46,0)</f>
        <v>0</v>
      </c>
      <c r="BN46" s="13">
        <f>IF($B46='[7]Look Up'!$A$6,$E46*$H46,0)+IF($B46='[7]Look Up'!$A$7,$E46*$H46,0)</f>
        <v>0</v>
      </c>
      <c r="BO46" s="13">
        <f>IF($B46='[7]Look Up'!$A$6,$F46*$H46,0)+IF($B46='[7]Look Up'!$A$7,$F46*$H46,0)</f>
        <v>0</v>
      </c>
      <c r="BQ46" s="6">
        <f>$C46*'Study Information &amp; rates'!$B$101*IF('Study Information &amp; rates'!$B$44='Study Information &amp; rates'!$V$12,(SUM($H46:$AP46)*1.287),(SUM($H46:$AP46)))</f>
        <v>0</v>
      </c>
      <c r="BR46" s="6">
        <f>$D46*'Study Information &amp; rates'!$C$101*IF('Study Information &amp; rates'!$B$44='Study Information &amp; rates'!$V$12,(SUM($H46:$AP46)*1.287),(SUM($H46:$AP46)))</f>
        <v>0</v>
      </c>
      <c r="BS46" s="6">
        <f>$E46*'Study Information &amp; rates'!$D$101*IF('Study Information &amp; rates'!$B$44='Study Information &amp; rates'!$V$12,(SUM($H46:$AP46)*1.287),(SUM($H46:$AP46)))</f>
        <v>0</v>
      </c>
      <c r="BT46" s="6">
        <f>$F46*'Study Information &amp; rates'!$F$101*IF('Study Information &amp; rates'!$B$44='Study Information &amp; rates'!$V$12,(SUM($H46:$AP46)*1.287),(SUM($H46:$AP46)))</f>
        <v>0</v>
      </c>
    </row>
    <row r="47" spans="1:72">
      <c r="A47" s="15"/>
      <c r="B47" s="15"/>
      <c r="C47" s="18"/>
      <c r="D47" s="18"/>
      <c r="E47" s="18"/>
      <c r="F47" s="18"/>
      <c r="G47" s="507"/>
      <c r="H47" s="508">
        <f>SUM(H8:H46)</f>
        <v>0</v>
      </c>
      <c r="I47" s="508">
        <f>SUM(I8:I46)</f>
        <v>0</v>
      </c>
      <c r="J47" s="508">
        <f>SUM(J8:J46)</f>
        <v>0</v>
      </c>
      <c r="K47" s="508">
        <f>SUM(K8:K46)</f>
        <v>0</v>
      </c>
      <c r="L47" s="508">
        <f>SUM(L8:L46)</f>
        <v>0</v>
      </c>
      <c r="M47" s="508">
        <f>SUM(M8:M46)</f>
        <v>0</v>
      </c>
      <c r="N47" s="508">
        <f>SUM(N8:N46)</f>
        <v>0</v>
      </c>
      <c r="O47" s="508">
        <f>SUM(O8:O46)</f>
        <v>0</v>
      </c>
      <c r="P47" s="508">
        <f>SUM(P8:P46)</f>
        <v>0</v>
      </c>
      <c r="Q47" s="508">
        <f>SUM(Q8:Q46)</f>
        <v>1</v>
      </c>
      <c r="R47" s="508">
        <f>SUM(R8:R46)</f>
        <v>0</v>
      </c>
      <c r="S47" s="508">
        <f>SUM(S8:S46)</f>
        <v>0</v>
      </c>
      <c r="T47" s="508">
        <f>SUM(T8:T46)</f>
        <v>0</v>
      </c>
      <c r="U47" s="508">
        <f>SUM(U8:U46)</f>
        <v>0</v>
      </c>
      <c r="V47" s="508">
        <f>SUM(V8:V46)</f>
        <v>0</v>
      </c>
      <c r="W47" s="508">
        <f>SUM(W8:W46)</f>
        <v>0</v>
      </c>
      <c r="X47" s="508">
        <f>SUM(X8:X46)</f>
        <v>0</v>
      </c>
      <c r="Y47" s="508">
        <f>SUM(Y8:Y46)</f>
        <v>0</v>
      </c>
      <c r="Z47" s="508">
        <f>SUM(Z8:Z46)</f>
        <v>0</v>
      </c>
      <c r="AA47" s="508">
        <f>SUM(AA8:AA46)</f>
        <v>0</v>
      </c>
      <c r="AB47" s="508">
        <f>SUM(AB8:AB46)</f>
        <v>0</v>
      </c>
      <c r="AC47" s="508">
        <f>SUM(AC8:AC46)</f>
        <v>0</v>
      </c>
      <c r="AD47" s="508">
        <f>SUM(AD8:AD46)</f>
        <v>0</v>
      </c>
      <c r="AE47" s="508">
        <f>SUM(AE8:AE46)</f>
        <v>0</v>
      </c>
      <c r="AF47" s="508">
        <f>SUM(AF8:AF46)</f>
        <v>0</v>
      </c>
      <c r="AG47" s="508">
        <f>SUM(AG8:AG46)</f>
        <v>0</v>
      </c>
      <c r="AH47" s="508">
        <f>SUM(AH8:AH46)</f>
        <v>0</v>
      </c>
      <c r="AI47" s="508">
        <f>SUM(AI8:AI46)</f>
        <v>0</v>
      </c>
      <c r="AJ47" s="508">
        <f>SUM(AJ8:AJ46)</f>
        <v>0</v>
      </c>
      <c r="AK47" s="508">
        <f>SUM(AK8:AK46)</f>
        <v>0</v>
      </c>
      <c r="AL47" s="508">
        <f>SUM(AL8:AL46)</f>
        <v>0</v>
      </c>
      <c r="AM47" s="508">
        <f>SUM(AM8:AM46)</f>
        <v>0</v>
      </c>
      <c r="AN47" s="508">
        <f>SUM(AN8:AN46)</f>
        <v>0</v>
      </c>
      <c r="AO47" s="508">
        <f>SUM(AO8:AO46)</f>
        <v>0</v>
      </c>
      <c r="AP47" s="508">
        <f>SUM(AP8:AP46)</f>
        <v>0</v>
      </c>
      <c r="AQ47" s="423"/>
      <c r="AR47" s="509">
        <f>SUM(AR8:AR46)</f>
        <v>0</v>
      </c>
      <c r="AS47" s="440">
        <f>IF('Study Information &amp; rates'!$B$44="Yes",AR47*0.287,0)</f>
        <v>0</v>
      </c>
      <c r="AT47" s="440">
        <f>IF('Study Information &amp; rates'!$B$44="No",0,AR47*0.05)</f>
        <v>0</v>
      </c>
      <c r="AU47" s="440">
        <f>AR47+AS47+AT47</f>
        <v>0</v>
      </c>
      <c r="AV47" s="440">
        <f>'Set-up and other costs'!$B$18*AU47</f>
        <v>0</v>
      </c>
      <c r="AW47" s="238"/>
      <c r="BQ47" s="6">
        <f>$C47*'Study Information &amp; rates'!$B$101*IF('Study Information &amp; rates'!$B$44='Study Information &amp; rates'!$V$12,(SUM($H47:$AP47)*1.287),(SUM($H47:$AP47)))</f>
        <v>0</v>
      </c>
      <c r="BR47" s="6">
        <f>$D47*'Study Information &amp; rates'!$C$101*IF('Study Information &amp; rates'!$B$44='Study Information &amp; rates'!$V$12,(SUM($H47:$AP47)*1.287),(SUM($H47:$AP47)))</f>
        <v>0</v>
      </c>
      <c r="BS47" s="6">
        <f>$E47*'Study Information &amp; rates'!$D$101*IF('Study Information &amp; rates'!$B$44='Study Information &amp; rates'!$V$12,(SUM($H47:$AP47)*1.287),(SUM($H47:$AP47)))</f>
        <v>0</v>
      </c>
      <c r="BT47" s="6">
        <f>$F47*'Study Information &amp; rates'!$F$101*IF('Study Information &amp; rates'!$B$44='Study Information &amp; rates'!$V$12,(SUM($H47:$AP47)*1.287),(SUM($H47:$AP47)))</f>
        <v>0</v>
      </c>
    </row>
    <row r="48" spans="1:58" ht="26">
      <c r="A48" s="15"/>
      <c r="B48" s="15"/>
      <c r="C48" s="18"/>
      <c r="D48" s="18"/>
      <c r="E48" s="18"/>
      <c r="F48" s="18"/>
      <c r="G48" s="439" t="s">
        <v>1970</v>
      </c>
      <c r="H48" s="508">
        <f>SUMPRODUCT($C8:$C46,H8:H46)</f>
        <v>0</v>
      </c>
      <c r="I48" s="508">
        <f>SUMPRODUCT($C8:$C46,I8:I46)</f>
        <v>0</v>
      </c>
      <c r="J48" s="508">
        <f>SUMPRODUCT($C8:$C46,J8:J46)</f>
        <v>0</v>
      </c>
      <c r="K48" s="508">
        <f>SUMPRODUCT($C8:$C46,K8:K46)</f>
        <v>0</v>
      </c>
      <c r="L48" s="508">
        <f>SUMPRODUCT($C8:$C46,L8:L46)</f>
        <v>0</v>
      </c>
      <c r="M48" s="508">
        <f>SUMPRODUCT($C8:$C46,M8:M46)</f>
        <v>0</v>
      </c>
      <c r="N48" s="508">
        <f>SUMPRODUCT($C8:$C46,N8:N46)</f>
        <v>0</v>
      </c>
      <c r="O48" s="508">
        <f>SUMPRODUCT($C8:$C46,O8:O46)</f>
        <v>0</v>
      </c>
      <c r="P48" s="508">
        <f>SUMPRODUCT($C8:$C46,P8:P46)</f>
        <v>0</v>
      </c>
      <c r="Q48" s="508">
        <f>SUMPRODUCT($C8:$C46,Q8:Q46)</f>
        <v>0</v>
      </c>
      <c r="R48" s="508">
        <f>SUMPRODUCT($C8:$C46,R8:R46)</f>
        <v>0</v>
      </c>
      <c r="S48" s="508">
        <f>SUMPRODUCT($C8:$C46,S8:S46)</f>
        <v>0</v>
      </c>
      <c r="T48" s="508">
        <f>SUMPRODUCT($C8:$C46,T8:T46)</f>
        <v>0</v>
      </c>
      <c r="U48" s="508">
        <f>SUMPRODUCT($C8:$C46,U8:U46)</f>
        <v>0</v>
      </c>
      <c r="V48" s="508">
        <f>SUMPRODUCT($C8:$C46,V8:V46)</f>
        <v>0</v>
      </c>
      <c r="W48" s="508">
        <f>SUMPRODUCT($C8:$C46,W8:W46)</f>
        <v>0</v>
      </c>
      <c r="X48" s="508">
        <f>SUMPRODUCT($C8:$C46,X8:X46)</f>
        <v>0</v>
      </c>
      <c r="Y48" s="508">
        <f>SUMPRODUCT($C8:$C46,Y8:Y46)</f>
        <v>0</v>
      </c>
      <c r="Z48" s="508">
        <f>SUMPRODUCT($C8:$C46,Z8:Z46)</f>
        <v>0</v>
      </c>
      <c r="AA48" s="508">
        <f>SUMPRODUCT($C8:$C46,AA8:AA46)</f>
        <v>0</v>
      </c>
      <c r="AB48" s="508">
        <f>SUMPRODUCT($C8:$C46,AB8:AB46)</f>
        <v>0</v>
      </c>
      <c r="AC48" s="508">
        <f>SUMPRODUCT($C8:$C46,AC8:AC46)</f>
        <v>0</v>
      </c>
      <c r="AD48" s="508">
        <f>SUMPRODUCT($C8:$C46,AD8:AD46)</f>
        <v>0</v>
      </c>
      <c r="AE48" s="508">
        <f>SUMPRODUCT($C8:$C46,AE8:AE46)</f>
        <v>0</v>
      </c>
      <c r="AF48" s="508">
        <f>SUMPRODUCT($C8:$C46,AF8:AF46)</f>
        <v>0</v>
      </c>
      <c r="AG48" s="508">
        <f>SUMPRODUCT($C8:$C46,AG8:AG46)</f>
        <v>0</v>
      </c>
      <c r="AH48" s="508">
        <f>SUMPRODUCT($C8:$C46,AH8:AH46)</f>
        <v>0</v>
      </c>
      <c r="AI48" s="508">
        <f>SUMPRODUCT($C8:$C46,AI8:AI46)</f>
        <v>0</v>
      </c>
      <c r="AJ48" s="508">
        <f>SUMPRODUCT($C8:$C46,AJ8:AJ46)</f>
        <v>0</v>
      </c>
      <c r="AK48" s="508">
        <f>SUMPRODUCT($C8:$C46,AK8:AK46)</f>
        <v>0</v>
      </c>
      <c r="AL48" s="508">
        <f>SUMPRODUCT($C8:$C46,AL8:AL46)</f>
        <v>0</v>
      </c>
      <c r="AM48" s="508">
        <f>SUMPRODUCT($C8:$C46,AM8:AM46)</f>
        <v>0</v>
      </c>
      <c r="AN48" s="508">
        <f>SUMPRODUCT($C8:$C46,AN8:AN46)</f>
        <v>0</v>
      </c>
      <c r="AO48" s="508">
        <f>SUMPRODUCT($C8:$C46,AO8:AO46)</f>
        <v>0</v>
      </c>
      <c r="AP48" s="508">
        <f>SUMPRODUCT($C8:$C46,AP8:AP46)</f>
        <v>0</v>
      </c>
      <c r="AQ48" s="429"/>
      <c r="AR48" s="440">
        <f>SUM(H48:AP48)*'Study Information &amp; rates'!B101</f>
        <v>0</v>
      </c>
      <c r="AS48" s="440">
        <f>IF('Study Information &amp; rates'!$B$44="Yes",AR48*0.287,0)</f>
        <v>0</v>
      </c>
      <c r="AT48" s="440">
        <f>IF('Study Information &amp; rates'!$B$44="No",0,AR48*0.05)</f>
        <v>0</v>
      </c>
      <c r="AU48" s="440">
        <f>AR48+AS48+AT48</f>
        <v>0</v>
      </c>
      <c r="AV48" s="440">
        <f>'Set-up and other costs'!$B$18*AU48</f>
        <v>0</v>
      </c>
      <c r="BB48" s="4">
        <f>SUMIF($BH:$BH,1,$C:$C)+SUMIF($BJ:$BJ,1,$C:$C)</f>
        <v>0</v>
      </c>
      <c r="BC48" s="275">
        <f>BB48*'Study Information &amp; rates'!$B$101</f>
        <v>0</v>
      </c>
      <c r="BD48" s="2">
        <f>IF('Study Information &amp; rates'!$B$44='Study Information &amp; rates'!$V$12,BC48*0.287,0)</f>
        <v>0</v>
      </c>
      <c r="BE48" s="2">
        <f>IF(($AR$52*'Study Information &amp; rates'!$B$27)&gt;5000,BC48*0.05,0)</f>
        <v>0</v>
      </c>
      <c r="BF48" s="2">
        <f>BC48+BD48+BE48</f>
        <v>0</v>
      </c>
    </row>
    <row r="49" spans="1:58" ht="26">
      <c r="A49" s="15"/>
      <c r="B49" s="15"/>
      <c r="C49" s="18"/>
      <c r="D49" s="18"/>
      <c r="E49" s="18"/>
      <c r="F49" s="18"/>
      <c r="G49" s="439" t="s">
        <v>1971</v>
      </c>
      <c r="H49" s="508">
        <f>SUMPRODUCT($D8:$D46,H8:H46)</f>
        <v>0</v>
      </c>
      <c r="I49" s="508">
        <f>SUMPRODUCT($D8:$D46,I8:I46)</f>
        <v>0</v>
      </c>
      <c r="J49" s="508">
        <f>SUMPRODUCT($D8:$D46,J8:J46)</f>
        <v>0</v>
      </c>
      <c r="K49" s="508">
        <f>SUMPRODUCT($D8:$D46,K8:K46)</f>
        <v>0</v>
      </c>
      <c r="L49" s="508">
        <f>SUMPRODUCT($D8:$D46,L8:L46)</f>
        <v>0</v>
      </c>
      <c r="M49" s="508">
        <f>SUMPRODUCT($D8:$D46,M8:M46)</f>
        <v>0</v>
      </c>
      <c r="N49" s="508">
        <f>SUMPRODUCT($D8:$D46,N8:N46)</f>
        <v>0</v>
      </c>
      <c r="O49" s="508">
        <f>SUMPRODUCT($D8:$D46,O8:O46)</f>
        <v>0</v>
      </c>
      <c r="P49" s="508">
        <f>SUMPRODUCT($D8:$D46,P8:P46)</f>
        <v>0</v>
      </c>
      <c r="Q49" s="508">
        <f>SUMPRODUCT($D8:$D46,Q8:Q46)</f>
        <v>0</v>
      </c>
      <c r="R49" s="508">
        <f>SUMPRODUCT($D8:$D46,R8:R46)</f>
        <v>0</v>
      </c>
      <c r="S49" s="508">
        <f>SUMPRODUCT($D8:$D46,S8:S46)</f>
        <v>0</v>
      </c>
      <c r="T49" s="508">
        <f>SUMPRODUCT($D8:$D46,T8:T46)</f>
        <v>0</v>
      </c>
      <c r="U49" s="508">
        <f>SUMPRODUCT($D8:$D46,U8:U46)</f>
        <v>0</v>
      </c>
      <c r="V49" s="508">
        <f>SUMPRODUCT($D8:$D46,V8:V46)</f>
        <v>0</v>
      </c>
      <c r="W49" s="508">
        <f>SUMPRODUCT($D8:$D46,W8:W46)</f>
        <v>0</v>
      </c>
      <c r="X49" s="508">
        <f>SUMPRODUCT($D8:$D46,X8:X46)</f>
        <v>0</v>
      </c>
      <c r="Y49" s="508">
        <f>SUMPRODUCT($D8:$D46,Y8:Y46)</f>
        <v>0</v>
      </c>
      <c r="Z49" s="508">
        <f>SUMPRODUCT($D8:$D46,Z8:Z46)</f>
        <v>0</v>
      </c>
      <c r="AA49" s="508">
        <f>SUMPRODUCT($D8:$D46,AA8:AA46)</f>
        <v>0</v>
      </c>
      <c r="AB49" s="508">
        <f>SUMPRODUCT($D8:$D46,AB8:AB46)</f>
        <v>0</v>
      </c>
      <c r="AC49" s="508">
        <f>SUMPRODUCT($D8:$D46,AC8:AC46)</f>
        <v>0</v>
      </c>
      <c r="AD49" s="508">
        <f>SUMPRODUCT($D8:$D46,AD8:AD46)</f>
        <v>0</v>
      </c>
      <c r="AE49" s="508">
        <f>SUMPRODUCT($D8:$D46,AE8:AE46)</f>
        <v>0</v>
      </c>
      <c r="AF49" s="508">
        <f>SUMPRODUCT($D8:$D46,AF8:AF46)</f>
        <v>0</v>
      </c>
      <c r="AG49" s="508">
        <f>SUMPRODUCT($D8:$D46,AG8:AG46)</f>
        <v>0</v>
      </c>
      <c r="AH49" s="508">
        <f>SUMPRODUCT($D8:$D46,AH8:AH46)</f>
        <v>0</v>
      </c>
      <c r="AI49" s="508">
        <f>SUMPRODUCT($D8:$D46,AI8:AI46)</f>
        <v>0</v>
      </c>
      <c r="AJ49" s="508">
        <f>SUMPRODUCT($D8:$D46,AJ8:AJ46)</f>
        <v>0</v>
      </c>
      <c r="AK49" s="508">
        <f>SUMPRODUCT($D8:$D46,AK8:AK46)</f>
        <v>0</v>
      </c>
      <c r="AL49" s="508">
        <f>SUMPRODUCT($D8:$D46,AL8:AL46)</f>
        <v>0</v>
      </c>
      <c r="AM49" s="508">
        <f>SUMPRODUCT($D8:$D46,AM8:AM46)</f>
        <v>0</v>
      </c>
      <c r="AN49" s="508">
        <f>SUMPRODUCT($D8:$D46,AN8:AN46)</f>
        <v>0</v>
      </c>
      <c r="AO49" s="508">
        <f>SUMPRODUCT($D8:$D46,AO8:AO46)</f>
        <v>0</v>
      </c>
      <c r="AP49" s="508">
        <f>SUMPRODUCT($D8:$D46,AP8:AP46)</f>
        <v>0</v>
      </c>
      <c r="AQ49" s="429"/>
      <c r="AR49" s="440">
        <f>SUM(H49:AP49)*'Study Information &amp; rates'!C101</f>
        <v>0</v>
      </c>
      <c r="AS49" s="440">
        <f>IF('Study Information &amp; rates'!$B$44="Yes",AR49*0.287,0)</f>
        <v>0</v>
      </c>
      <c r="AT49" s="440">
        <f>IF('Study Information &amp; rates'!$B$44="No",0,AR49*0.05)</f>
        <v>0</v>
      </c>
      <c r="AU49" s="440">
        <f>AR49+AS49+AT49</f>
        <v>0</v>
      </c>
      <c r="AV49" s="440">
        <f>'Set-up and other costs'!$B$18*AU49</f>
        <v>0</v>
      </c>
      <c r="BB49" s="4">
        <f>SUMIF($BH:$BH,1,$D:$D)+SUMIF($BJ:$BJ,1,$D:$D)</f>
        <v>0</v>
      </c>
      <c r="BC49" s="275">
        <f>BB49*'Study Information &amp; rates'!$C$101</f>
        <v>0</v>
      </c>
      <c r="BD49" s="2">
        <f>IF('Study Information &amp; rates'!$B$44='Study Information &amp; rates'!$V$12,BC49*0.287,0)</f>
        <v>0</v>
      </c>
      <c r="BE49" s="2">
        <f>IF(($AR$52*'Study Information &amp; rates'!$B$27)&gt;5000,BC49*0.05,0)</f>
        <v>0</v>
      </c>
      <c r="BF49" s="2">
        <f>BC49+BD49+BE49</f>
        <v>0</v>
      </c>
    </row>
    <row r="50" spans="1:58" ht="26">
      <c r="A50" s="15"/>
      <c r="B50" s="15"/>
      <c r="C50" s="18"/>
      <c r="D50" s="18"/>
      <c r="E50" s="18"/>
      <c r="F50" s="18"/>
      <c r="G50" s="439" t="s">
        <v>32</v>
      </c>
      <c r="H50" s="508">
        <f>SUMPRODUCT($E$8:$E46,H8:H46)</f>
        <v>0</v>
      </c>
      <c r="I50" s="508">
        <f>SUMPRODUCT($E$8:$E46,I8:I46)</f>
        <v>0</v>
      </c>
      <c r="J50" s="508">
        <f>SUMPRODUCT($E$8:$E46,J8:J46)</f>
        <v>0</v>
      </c>
      <c r="K50" s="508">
        <f>SUMPRODUCT($E$8:$E46,K8:K46)</f>
        <v>0</v>
      </c>
      <c r="L50" s="508">
        <f>SUMPRODUCT($E$8:$E46,L8:L46)</f>
        <v>0</v>
      </c>
      <c r="M50" s="508">
        <f>SUMPRODUCT($E$8:$E46,M8:M46)</f>
        <v>0</v>
      </c>
      <c r="N50" s="508">
        <f>SUMPRODUCT($E$8:$E46,N8:N46)</f>
        <v>0</v>
      </c>
      <c r="O50" s="508">
        <f>SUMPRODUCT($E$8:$E46,O8:O46)</f>
        <v>0</v>
      </c>
      <c r="P50" s="508">
        <f>SUMPRODUCT($E$8:$E46,P8:P46)</f>
        <v>0</v>
      </c>
      <c r="Q50" s="508">
        <f>SUMPRODUCT($E$8:$E46,Q8:Q46)</f>
        <v>0</v>
      </c>
      <c r="R50" s="508">
        <f>SUMPRODUCT($E$8:$E46,R8:R46)</f>
        <v>0</v>
      </c>
      <c r="S50" s="508">
        <f>SUMPRODUCT($E$8:$E46,S8:S46)</f>
        <v>0</v>
      </c>
      <c r="T50" s="508">
        <f>SUMPRODUCT($E$8:$E46,T8:T46)</f>
        <v>0</v>
      </c>
      <c r="U50" s="508">
        <f>SUMPRODUCT($E$8:$E46,U8:U46)</f>
        <v>0</v>
      </c>
      <c r="V50" s="508">
        <f>SUMPRODUCT($E$8:$E46,V8:V46)</f>
        <v>0</v>
      </c>
      <c r="W50" s="508">
        <f>SUMPRODUCT($E$8:$E46,W8:W46)</f>
        <v>0</v>
      </c>
      <c r="X50" s="508">
        <f>SUMPRODUCT($E$8:$E46,X8:X46)</f>
        <v>0</v>
      </c>
      <c r="Y50" s="508">
        <f>SUMPRODUCT($E$8:$E46,Y8:Y46)</f>
        <v>0</v>
      </c>
      <c r="Z50" s="508">
        <f>SUMPRODUCT($E$8:$E46,Z8:Z46)</f>
        <v>0</v>
      </c>
      <c r="AA50" s="508">
        <f>SUMPRODUCT($E$8:$E46,AA8:AA46)</f>
        <v>0</v>
      </c>
      <c r="AB50" s="508">
        <f>SUMPRODUCT($E$8:$E46,AB8:AB46)</f>
        <v>0</v>
      </c>
      <c r="AC50" s="508">
        <f>SUMPRODUCT($E$8:$E46,AC8:AC46)</f>
        <v>0</v>
      </c>
      <c r="AD50" s="508">
        <f>SUMPRODUCT($E$8:$E46,AD8:AD46)</f>
        <v>0</v>
      </c>
      <c r="AE50" s="508">
        <f>SUMPRODUCT($E$8:$E46,AE8:AE46)</f>
        <v>0</v>
      </c>
      <c r="AF50" s="508">
        <f>SUMPRODUCT($E$8:$E46,AF8:AF46)</f>
        <v>0</v>
      </c>
      <c r="AG50" s="508">
        <f>SUMPRODUCT($E$8:$E46,AG8:AG46)</f>
        <v>0</v>
      </c>
      <c r="AH50" s="508">
        <f>SUMPRODUCT($E$8:$E46,AH8:AH46)</f>
        <v>0</v>
      </c>
      <c r="AI50" s="508">
        <f>SUMPRODUCT($E$8:$E46,AI8:AI46)</f>
        <v>0</v>
      </c>
      <c r="AJ50" s="508">
        <f>SUMPRODUCT($E$8:$E46,AJ8:AJ46)</f>
        <v>0</v>
      </c>
      <c r="AK50" s="508">
        <f>SUMPRODUCT($E$8:$E46,AK8:AK46)</f>
        <v>0</v>
      </c>
      <c r="AL50" s="508">
        <f>SUMPRODUCT($E$8:$E46,AL8:AL46)</f>
        <v>0</v>
      </c>
      <c r="AM50" s="508">
        <f>SUMPRODUCT($E$8:$E46,AM8:AM46)</f>
        <v>0</v>
      </c>
      <c r="AN50" s="508">
        <f>SUMPRODUCT($E$8:$E46,AN8:AN46)</f>
        <v>0</v>
      </c>
      <c r="AO50" s="508">
        <f>SUMPRODUCT($E$8:$E46,AO8:AO46)</f>
        <v>0</v>
      </c>
      <c r="AP50" s="508">
        <f>SUMPRODUCT($E$8:$E46,AP8:AP46)</f>
        <v>0</v>
      </c>
      <c r="AQ50" s="429"/>
      <c r="AR50" s="440">
        <f>SUM(H50:AP50)*'Study Information &amp; rates'!D101</f>
        <v>0</v>
      </c>
      <c r="AS50" s="440">
        <f>IF('Study Information &amp; rates'!$B$44="Yes",AR50*0.287,0)</f>
        <v>0</v>
      </c>
      <c r="AT50" s="440">
        <f>IF('Study Information &amp; rates'!$B$44="No",0,AR50*0.05)</f>
        <v>0</v>
      </c>
      <c r="AU50" s="440">
        <f>AR50+AS50+AT50</f>
        <v>0</v>
      </c>
      <c r="AV50" s="440">
        <f>'Set-up and other costs'!$B$18*AU50</f>
        <v>0</v>
      </c>
      <c r="BB50" s="4">
        <f>SUMIF($BH:$BH,1,$E:$E)+SUMIF($BJ:$BJ,1,$E:$E)</f>
        <v>0</v>
      </c>
      <c r="BC50" s="275">
        <f>BB50*'Study Information &amp; rates'!$D$101</f>
        <v>0</v>
      </c>
      <c r="BD50" s="2">
        <f>IF('Study Information &amp; rates'!$B$44='Study Information &amp; rates'!$V$12,BC50*0.287,0)</f>
        <v>0</v>
      </c>
      <c r="BE50" s="2">
        <f>IF(($AR$52*'Study Information &amp; rates'!$B$27)&gt;5000,BC50*0.05,0)</f>
        <v>0</v>
      </c>
      <c r="BF50" s="2">
        <f>BC50+BD50+BE50</f>
        <v>0</v>
      </c>
    </row>
    <row r="51" spans="1:58" ht="26">
      <c r="A51" s="15"/>
      <c r="B51" s="15"/>
      <c r="C51" s="18"/>
      <c r="D51" s="18"/>
      <c r="E51" s="18"/>
      <c r="F51" s="18"/>
      <c r="G51" s="439" t="s">
        <v>46</v>
      </c>
      <c r="H51" s="508">
        <f>SUMPRODUCT($F$8:$F46,H8:H46)</f>
        <v>0</v>
      </c>
      <c r="I51" s="508">
        <f>SUMPRODUCT($F$8:$F46,I8:I46)</f>
        <v>0</v>
      </c>
      <c r="J51" s="508">
        <f>SUMPRODUCT($F$8:$F46,J8:J46)</f>
        <v>0</v>
      </c>
      <c r="K51" s="508">
        <f>SUMPRODUCT($F$8:$F46,K8:K46)</f>
        <v>0</v>
      </c>
      <c r="L51" s="508">
        <f>SUMPRODUCT($F$8:$F46,L8:L46)</f>
        <v>0</v>
      </c>
      <c r="M51" s="508">
        <f>SUMPRODUCT($F$8:$F46,M8:M46)</f>
        <v>0</v>
      </c>
      <c r="N51" s="508">
        <f>SUMPRODUCT($F$8:$F46,N8:N46)</f>
        <v>0</v>
      </c>
      <c r="O51" s="508">
        <f>SUMPRODUCT($F$8:$F46,O8:O46)</f>
        <v>0</v>
      </c>
      <c r="P51" s="508">
        <f>SUMPRODUCT($F$8:$F46,P8:P46)</f>
        <v>0</v>
      </c>
      <c r="Q51" s="508">
        <f>SUMPRODUCT($F$8:$F46,Q8:Q46)</f>
        <v>0</v>
      </c>
      <c r="R51" s="508">
        <f>SUMPRODUCT($F$8:$F46,R8:R46)</f>
        <v>0</v>
      </c>
      <c r="S51" s="508">
        <f>SUMPRODUCT($F$8:$F46,S8:S46)</f>
        <v>0</v>
      </c>
      <c r="T51" s="508">
        <f>SUMPRODUCT($F$8:$F46,T8:T46)</f>
        <v>0</v>
      </c>
      <c r="U51" s="508">
        <f>SUMPRODUCT($F$8:$F46,U8:U46)</f>
        <v>0</v>
      </c>
      <c r="V51" s="508">
        <f>SUMPRODUCT($F$8:$F46,V8:V46)</f>
        <v>0</v>
      </c>
      <c r="W51" s="508">
        <f>SUMPRODUCT($F$8:$F46,W8:W46)</f>
        <v>0</v>
      </c>
      <c r="X51" s="508">
        <f>SUMPRODUCT($F$8:$F46,X8:X46)</f>
        <v>0</v>
      </c>
      <c r="Y51" s="508">
        <f>SUMPRODUCT($F$8:$F46,Y8:Y46)</f>
        <v>0</v>
      </c>
      <c r="Z51" s="508">
        <f>SUMPRODUCT($F$8:$F46,Z8:Z46)</f>
        <v>0</v>
      </c>
      <c r="AA51" s="508">
        <f>SUMPRODUCT($F$8:$F46,AA8:AA46)</f>
        <v>0</v>
      </c>
      <c r="AB51" s="508">
        <f>SUMPRODUCT($F$8:$F46,AB8:AB46)</f>
        <v>0</v>
      </c>
      <c r="AC51" s="508">
        <f>SUMPRODUCT($F$8:$F46,AC8:AC46)</f>
        <v>0</v>
      </c>
      <c r="AD51" s="508">
        <f>SUMPRODUCT($F$8:$F46,AD8:AD46)</f>
        <v>0</v>
      </c>
      <c r="AE51" s="508">
        <f>SUMPRODUCT($F$8:$F46,AE8:AE46)</f>
        <v>0</v>
      </c>
      <c r="AF51" s="508">
        <f>SUMPRODUCT($F$8:$F46,AF8:AF46)</f>
        <v>0</v>
      </c>
      <c r="AG51" s="508">
        <f>SUMPRODUCT($F$8:$F46,AG8:AG46)</f>
        <v>0</v>
      </c>
      <c r="AH51" s="508">
        <f>SUMPRODUCT($F$8:$F46,AH8:AH46)</f>
        <v>0</v>
      </c>
      <c r="AI51" s="508">
        <f>SUMPRODUCT($F$8:$F46,AI8:AI46)</f>
        <v>0</v>
      </c>
      <c r="AJ51" s="508">
        <f>SUMPRODUCT($F$8:$F46,AJ8:AJ46)</f>
        <v>0</v>
      </c>
      <c r="AK51" s="508">
        <f>SUMPRODUCT($F$8:$F46,AK8:AK46)</f>
        <v>0</v>
      </c>
      <c r="AL51" s="508">
        <f>SUMPRODUCT($F$8:$F46,AL8:AL46)</f>
        <v>0</v>
      </c>
      <c r="AM51" s="508">
        <f>SUMPRODUCT($F$8:$F46,AM8:AM46)</f>
        <v>0</v>
      </c>
      <c r="AN51" s="508">
        <f>SUMPRODUCT($F$8:$F46,AN8:AN46)</f>
        <v>0</v>
      </c>
      <c r="AO51" s="508">
        <f>SUMPRODUCT($F$8:$F46,AO8:AO46)</f>
        <v>0</v>
      </c>
      <c r="AP51" s="508">
        <f>SUMPRODUCT($F$8:$F46,AP8:AP46)</f>
        <v>0</v>
      </c>
      <c r="AQ51" s="429"/>
      <c r="AR51" s="440">
        <f>SUM(H51:AP51)*'Study Information &amp; rates'!F101</f>
        <v>0</v>
      </c>
      <c r="AS51" s="440">
        <f>IF('Study Information &amp; rates'!$B$44="Yes",AR51*0.287,0)</f>
        <v>0</v>
      </c>
      <c r="AT51" s="440">
        <f>IF('Study Information &amp; rates'!$B$44="No",0,AR51*0.05)</f>
        <v>0</v>
      </c>
      <c r="AU51" s="440">
        <f>AR51+AS51+AT51</f>
        <v>0</v>
      </c>
      <c r="AV51" s="440">
        <f>'Set-up and other costs'!$B$18*AU51</f>
        <v>0</v>
      </c>
      <c r="AW51" s="13" t="b">
        <f>AR52=AR47</f>
        <v>1</v>
      </c>
      <c r="AX51" s="13" t="b">
        <f>AS52=AS47</f>
        <v>1</v>
      </c>
      <c r="AY51" s="13" t="b">
        <f>AT52=AT47</f>
        <v>1</v>
      </c>
      <c r="AZ51" s="13" t="b">
        <f>AV52=AV47</f>
        <v>1</v>
      </c>
      <c r="BB51" s="4">
        <f>SUMIF($BH:$BH,1,$F:$F)+SUMIF($BJ:$BJ,1,$F:$F)</f>
        <v>0</v>
      </c>
      <c r="BC51" s="275">
        <f>BB51*'Study Information &amp; rates'!$F$101</f>
        <v>0</v>
      </c>
      <c r="BD51" s="2">
        <f>IF('Study Information &amp; rates'!$B$44='Study Information &amp; rates'!$V$12,BC51*0.287,0)</f>
        <v>0</v>
      </c>
      <c r="BE51" s="2">
        <f>IF(($AR$52*'Study Information &amp; rates'!$B$27)&gt;5000,BC51*0.05,0)</f>
        <v>0</v>
      </c>
      <c r="BF51" s="2">
        <f>BC51+BD51+BE51</f>
        <v>0</v>
      </c>
    </row>
    <row r="52" spans="1:48">
      <c r="A52" s="13"/>
      <c r="B52" s="13"/>
      <c r="C52" s="13"/>
      <c r="D52" s="13"/>
      <c r="E52" s="13"/>
      <c r="F52" s="13"/>
      <c r="G52" s="13"/>
      <c r="AQ52" s="454"/>
      <c r="AR52" s="511">
        <f>SUM(AR48:AR51)</f>
        <v>0</v>
      </c>
      <c r="AS52" s="511">
        <f>SUM(AS48:AS51)</f>
        <v>0</v>
      </c>
      <c r="AT52" s="511">
        <f>SUM(AT48:AT51)</f>
        <v>0</v>
      </c>
      <c r="AU52" s="457">
        <f>SUM(AU48:AU51)</f>
        <v>0</v>
      </c>
      <c r="AV52" s="440">
        <f>'Set-up and other costs'!$B$18*AU52</f>
        <v>0</v>
      </c>
    </row>
    <row r="53" spans="1:48" ht="15.5">
      <c r="A53" s="19" t="s">
        <v>22</v>
      </c>
      <c r="B53" s="19"/>
      <c r="C53" s="13"/>
      <c r="D53" s="13"/>
      <c r="E53" s="13"/>
      <c r="F53" s="13"/>
      <c r="G53" s="13"/>
      <c r="AQ53" s="454"/>
      <c r="AR53" s="510"/>
      <c r="AS53" s="510"/>
      <c r="AT53" s="510"/>
      <c r="AU53" s="511">
        <f>AU52-AU47</f>
        <v>0</v>
      </c>
      <c r="AV53" s="510"/>
    </row>
    <row r="54" spans="1:48">
      <c r="A54" s="16"/>
      <c r="B54" s="16"/>
      <c r="AQ54" s="454"/>
      <c r="AR54" s="510"/>
      <c r="AS54" s="510"/>
      <c r="AT54" s="510"/>
      <c r="AU54" s="510"/>
      <c r="AV54" s="510"/>
    </row>
    <row r="55" spans="1:48" ht="43.5" customHeight="1">
      <c r="A55" s="446" t="s">
        <v>20</v>
      </c>
      <c r="B55" s="430" t="s">
        <v>2059</v>
      </c>
      <c r="C55" s="563" t="s">
        <v>2024</v>
      </c>
      <c r="D55" s="466"/>
      <c r="E55" s="466"/>
      <c r="F55" s="445"/>
      <c r="G55" s="446" t="s">
        <v>21</v>
      </c>
      <c r="H55" s="430" t="s">
        <v>19</v>
      </c>
      <c r="I55" s="430" t="str">
        <f>I7</f>
        <v>Visit 2</v>
      </c>
      <c r="J55" s="430" t="str">
        <f>J7</f>
        <v>Visit 3</v>
      </c>
      <c r="K55" s="430" t="str">
        <f>K7</f>
        <v>Visit 4</v>
      </c>
      <c r="L55" s="430" t="str">
        <f>L7</f>
        <v>Visit 5</v>
      </c>
      <c r="M55" s="430" t="str">
        <f>M7</f>
        <v>Visit 6</v>
      </c>
      <c r="N55" s="430" t="str">
        <f>N7</f>
        <v>Visit 7</v>
      </c>
      <c r="O55" s="430" t="str">
        <f>O7</f>
        <v>Visit 8</v>
      </c>
      <c r="P55" s="430" t="str">
        <f>P7</f>
        <v>Visit 9</v>
      </c>
      <c r="Q55" s="430" t="str">
        <f>Q7</f>
        <v>Visit 10</v>
      </c>
      <c r="R55" s="430" t="str">
        <f>R7</f>
        <v>Visit 11</v>
      </c>
      <c r="S55" s="430" t="str">
        <f>S7</f>
        <v>Visit 12</v>
      </c>
      <c r="T55" s="430" t="str">
        <f>T7</f>
        <v>Visit 13</v>
      </c>
      <c r="U55" s="430" t="str">
        <f>U7</f>
        <v>Visit 14</v>
      </c>
      <c r="V55" s="430" t="str">
        <f>V7</f>
        <v>Visit 15</v>
      </c>
      <c r="W55" s="430" t="str">
        <f>W7</f>
        <v>Visit 16</v>
      </c>
      <c r="X55" s="430" t="str">
        <f>X7</f>
        <v>Visit 17</v>
      </c>
      <c r="Y55" s="430" t="str">
        <f>Y7</f>
        <v>Visit 18</v>
      </c>
      <c r="Z55" s="430" t="str">
        <f>Z7</f>
        <v>Visit 19</v>
      </c>
      <c r="AA55" s="430" t="str">
        <f>AA7</f>
        <v>Visit 20</v>
      </c>
      <c r="AB55" s="430" t="str">
        <f>AB7</f>
        <v>Visit 21</v>
      </c>
      <c r="AC55" s="430" t="str">
        <f>AC7</f>
        <v>Visit 22</v>
      </c>
      <c r="AD55" s="430" t="str">
        <f>AD7</f>
        <v>Visit 23</v>
      </c>
      <c r="AE55" s="430" t="str">
        <f>AE7</f>
        <v>Visit 24</v>
      </c>
      <c r="AF55" s="430" t="str">
        <f>AF7</f>
        <v>Visit 25</v>
      </c>
      <c r="AG55" s="430" t="str">
        <f>AG7</f>
        <v>Visit 26</v>
      </c>
      <c r="AH55" s="430" t="str">
        <f>AH7</f>
        <v>Visit 27</v>
      </c>
      <c r="AI55" s="430" t="str">
        <f>AI7</f>
        <v>Visit 28</v>
      </c>
      <c r="AJ55" s="430" t="str">
        <f>AJ7</f>
        <v>Visit 29</v>
      </c>
      <c r="AK55" s="430" t="str">
        <f>AK7</f>
        <v>Visit 30</v>
      </c>
      <c r="AL55" s="430" t="str">
        <f>AL7</f>
        <v>Visit 31</v>
      </c>
      <c r="AM55" s="430" t="str">
        <f>AM7</f>
        <v>Visit 32</v>
      </c>
      <c r="AN55" s="430" t="str">
        <f>AN7</f>
        <v>Visit 33</v>
      </c>
      <c r="AO55" s="430" t="str">
        <f>AO7</f>
        <v>Visit 34</v>
      </c>
      <c r="AP55" s="430" t="str">
        <f>AP7</f>
        <v>Visit 35</v>
      </c>
      <c r="AQ55" s="434"/>
      <c r="AR55" s="439" t="s">
        <v>3</v>
      </c>
      <c r="AS55" s="439" t="s">
        <v>5</v>
      </c>
      <c r="AT55" s="439" t="s">
        <v>1852</v>
      </c>
      <c r="AU55" s="439" t="s">
        <v>2251</v>
      </c>
      <c r="AV55" s="439" t="s">
        <v>2252</v>
      </c>
    </row>
    <row r="56" spans="1:67" ht="15.75" customHeight="1">
      <c r="A56" s="8"/>
      <c r="B56" s="8"/>
      <c r="C56" s="444"/>
      <c r="D56" s="459"/>
      <c r="E56" s="459"/>
      <c r="F56" s="443"/>
      <c r="G56" s="463">
        <f>IF(ISERROR(VLOOKUP(A56,'Data Sheet Costs'!$A:$C,3,FALSE)),0,VLOOKUP(A56,'Data Sheet Costs'!$A:$C,3,FALSE))</f>
        <v>0</v>
      </c>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433"/>
      <c r="AR56" s="440">
        <f>(SUM(H56:AP56))*G56</f>
        <v>0</v>
      </c>
      <c r="AS56" s="440">
        <f>IF('Study Information &amp; rates'!$B$44="Yes",AR56*0.287,0)</f>
        <v>0</v>
      </c>
      <c r="AT56" s="440">
        <f>IF('Study Information &amp; rates'!$B$44="No",0,AR56*0.05)</f>
        <v>0</v>
      </c>
      <c r="AU56" s="440">
        <f>AR56+AS56+AT56</f>
        <v>0</v>
      </c>
      <c r="AV56" s="440">
        <f>'Set-up and other costs'!$B$18*AU56</f>
        <v>0</v>
      </c>
      <c r="BG56" s="6" t="b">
        <f>IF($B56='Look Up'!$A$5,$H56)</f>
        <v>0</v>
      </c>
      <c r="BH56" s="6" t="b">
        <f>IF($B56='Look Up'!$A$6,$H56)</f>
        <v>0</v>
      </c>
      <c r="BI56" s="6" t="b">
        <f>IF($B56='Look Up'!$A$7,$H56)</f>
        <v>0</v>
      </c>
      <c r="BJ56" s="6" t="b">
        <f>IF($B56='Look Up'!$A$7,$H56)</f>
        <v>0</v>
      </c>
      <c r="BO56" s="6" t="str">
        <f>C56&amp;B56</f>
        <v/>
      </c>
    </row>
    <row r="57" spans="1:67">
      <c r="A57" s="8"/>
      <c r="B57" s="8"/>
      <c r="C57" s="444"/>
      <c r="D57" s="442"/>
      <c r="E57" s="442"/>
      <c r="F57" s="462"/>
      <c r="G57" s="463">
        <f>IF(ISERROR(VLOOKUP(A57,'Data Sheet Costs'!$A:$C,3,FALSE)),0,VLOOKUP(A57,'Data Sheet Costs'!$A:$C,3,FALSE))</f>
        <v>0</v>
      </c>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427"/>
      <c r="AR57" s="440">
        <f>(SUM(H57:AP57))*G57</f>
        <v>0</v>
      </c>
      <c r="AS57" s="440">
        <f>IF('Study Information &amp; rates'!$B$44="Yes",AR57*0.287,0)</f>
        <v>0</v>
      </c>
      <c r="AT57" s="440">
        <f>IF('Study Information &amp; rates'!$B$44="No",0,AR57*0.05)</f>
        <v>0</v>
      </c>
      <c r="AU57" s="440">
        <f>AR57+AS57+AT57</f>
        <v>0</v>
      </c>
      <c r="AV57" s="440">
        <f>'Set-up and other costs'!$B$18*AU57</f>
        <v>0</v>
      </c>
      <c r="BG57" s="6" t="b">
        <f>IF($B57='Look Up'!$A$5,$H57)</f>
        <v>0</v>
      </c>
      <c r="BH57" s="6" t="b">
        <f>IF($B57='Look Up'!$A$6,$H57)</f>
        <v>0</v>
      </c>
      <c r="BI57" s="6" t="b">
        <f>IF($B57='Look Up'!$A$7,$H57)</f>
        <v>0</v>
      </c>
      <c r="BJ57" s="6" t="b">
        <f>IF($B57='Look Up'!$A$7,$H57)</f>
        <v>0</v>
      </c>
      <c r="BO57" s="6" t="str">
        <f>C57&amp;B57</f>
        <v/>
      </c>
    </row>
    <row r="58" spans="1:67">
      <c r="A58" s="8"/>
      <c r="B58" s="8"/>
      <c r="C58" s="444"/>
      <c r="D58" s="442"/>
      <c r="E58" s="442"/>
      <c r="F58" s="462"/>
      <c r="G58" s="463">
        <f>IF(ISERROR(VLOOKUP(A58,'Data Sheet Costs'!$A:$C,3,FALSE)),0,VLOOKUP(A58,'Data Sheet Costs'!$A:$C,3,FALSE))</f>
        <v>0</v>
      </c>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427"/>
      <c r="AR58" s="440">
        <f>(SUM(H58:AP58))*G58</f>
        <v>0</v>
      </c>
      <c r="AS58" s="440">
        <f>IF('Study Information &amp; rates'!$B$44="Yes",AR58*0.287,0)</f>
        <v>0</v>
      </c>
      <c r="AT58" s="440">
        <f>IF('Study Information &amp; rates'!$B$44="No",0,AR58*0.05)</f>
        <v>0</v>
      </c>
      <c r="AU58" s="440">
        <f>AR58+AS58+AT58</f>
        <v>0</v>
      </c>
      <c r="AV58" s="440">
        <f>'Set-up and other costs'!$B$18*AU58</f>
        <v>0</v>
      </c>
      <c r="BG58" s="6" t="b">
        <f>IF($B58='Look Up'!$A$5,$H58)</f>
        <v>0</v>
      </c>
      <c r="BH58" s="6" t="b">
        <f>IF($B58='Look Up'!$A$6,$H58)</f>
        <v>0</v>
      </c>
      <c r="BI58" s="6" t="b">
        <f>IF($B58='Look Up'!$A$7,$H58)</f>
        <v>0</v>
      </c>
      <c r="BJ58" s="6" t="b">
        <f>IF($B58='Look Up'!$A$7,$H58)</f>
        <v>0</v>
      </c>
      <c r="BO58" s="6" t="str">
        <f>C58&amp;B58</f>
        <v/>
      </c>
    </row>
    <row r="59" spans="1:67">
      <c r="A59" s="8"/>
      <c r="B59" s="8"/>
      <c r="C59" s="444"/>
      <c r="D59" s="442"/>
      <c r="E59" s="442"/>
      <c r="F59" s="462"/>
      <c r="G59" s="463">
        <f>IF(ISERROR(VLOOKUP(A59,'Data Sheet Costs'!$A:$C,3,FALSE)),0,VLOOKUP(A59,'Data Sheet Costs'!$A:$C,3,FALSE))</f>
        <v>0</v>
      </c>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427"/>
      <c r="AR59" s="440">
        <f>(SUM(H59:AP59))*G59</f>
        <v>0</v>
      </c>
      <c r="AS59" s="440">
        <f>IF('Study Information &amp; rates'!$B$44="Yes",AR59*0.287,0)</f>
        <v>0</v>
      </c>
      <c r="AT59" s="440">
        <f>IF('Study Information &amp; rates'!$B$44="No",0,AR59*0.05)</f>
        <v>0</v>
      </c>
      <c r="AU59" s="440">
        <f>AR59+AS59+AT59</f>
        <v>0</v>
      </c>
      <c r="AV59" s="440">
        <f>'Set-up and other costs'!$B$18*AU59</f>
        <v>0</v>
      </c>
      <c r="BG59" s="6" t="b">
        <f>IF($B59='Look Up'!$A$5,$H59)</f>
        <v>0</v>
      </c>
      <c r="BH59" s="6" t="b">
        <f>IF($B59='Look Up'!$A$6,$H59)</f>
        <v>0</v>
      </c>
      <c r="BI59" s="6" t="b">
        <f>IF($B59='Look Up'!$A$7,$H59)</f>
        <v>0</v>
      </c>
      <c r="BJ59" s="6" t="b">
        <f>IF($B59='Look Up'!$A$7,$H59)</f>
        <v>0</v>
      </c>
      <c r="BO59" s="6" t="str">
        <f>C59&amp;B59</f>
        <v/>
      </c>
    </row>
    <row r="60" spans="1:67" ht="15.75" customHeight="1">
      <c r="A60" s="8"/>
      <c r="B60" s="8"/>
      <c r="C60" s="444"/>
      <c r="D60" s="442"/>
      <c r="E60" s="442"/>
      <c r="F60" s="462"/>
      <c r="G60" s="463">
        <f>IF(ISERROR(VLOOKUP(A60,'Data Sheet Costs'!$A:$C,3,FALSE)),0,VLOOKUP(A60,'Data Sheet Costs'!$A:$C,3,FALSE))</f>
        <v>0</v>
      </c>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427"/>
      <c r="AR60" s="440">
        <f>(SUM(H60:AP60))*G60</f>
        <v>0</v>
      </c>
      <c r="AS60" s="440">
        <f>IF('Study Information &amp; rates'!$B$44="Yes",AR60*0.287,0)</f>
        <v>0</v>
      </c>
      <c r="AT60" s="440">
        <f>IF('Study Information &amp; rates'!$B$44="No",0,AR60*0.05)</f>
        <v>0</v>
      </c>
      <c r="AU60" s="440">
        <f>AR60+AS60+AT60</f>
        <v>0</v>
      </c>
      <c r="AV60" s="440">
        <f>'Set-up and other costs'!$B$18*AU60</f>
        <v>0</v>
      </c>
      <c r="BG60" s="6" t="b">
        <f>IF($B60='Look Up'!$A$5,$H60)</f>
        <v>0</v>
      </c>
      <c r="BH60" s="6" t="b">
        <f>IF($B60='Look Up'!$A$6,$H60)</f>
        <v>0</v>
      </c>
      <c r="BI60" s="6" t="b">
        <f>IF($B60='Look Up'!$A$7,$H60)</f>
        <v>0</v>
      </c>
      <c r="BJ60" s="6" t="b">
        <f>IF($B60='Look Up'!$A$7,$H60)</f>
        <v>0</v>
      </c>
      <c r="BO60" s="6" t="str">
        <f>C60&amp;B60</f>
        <v/>
      </c>
    </row>
    <row r="61" spans="1:67">
      <c r="A61" s="8"/>
      <c r="B61" s="8"/>
      <c r="C61" s="444"/>
      <c r="D61" s="442"/>
      <c r="E61" s="442"/>
      <c r="F61" s="462"/>
      <c r="G61" s="463">
        <f>IF(ISERROR(VLOOKUP(A61,'Data Sheet Costs'!$A:$C,3,FALSE)),0,VLOOKUP(A61,'Data Sheet Costs'!$A:$C,3,FALSE))</f>
        <v>0</v>
      </c>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427"/>
      <c r="AR61" s="440">
        <f>(SUM(H61:AP61))*G61</f>
        <v>0</v>
      </c>
      <c r="AS61" s="440">
        <f>IF('Study Information &amp; rates'!$B$44="Yes",AR61*0.287,0)</f>
        <v>0</v>
      </c>
      <c r="AT61" s="440">
        <f>IF('Study Information &amp; rates'!$B$44="No",0,AR61*0.05)</f>
        <v>0</v>
      </c>
      <c r="AU61" s="440">
        <f>AR61+AS61+AT61</f>
        <v>0</v>
      </c>
      <c r="AV61" s="440">
        <f>'Set-up and other costs'!$B$18*AU61</f>
        <v>0</v>
      </c>
      <c r="BG61" s="6" t="b">
        <f>IF($B61='Look Up'!$A$5,$H61)</f>
        <v>0</v>
      </c>
      <c r="BH61" s="6" t="b">
        <f>IF($B61='Look Up'!$A$6,$H61)</f>
        <v>0</v>
      </c>
      <c r="BI61" s="6" t="b">
        <f>IF($B61='Look Up'!$A$7,$H61)</f>
        <v>0</v>
      </c>
      <c r="BJ61" s="6" t="b">
        <f>IF($B61='Look Up'!$A$7,$H61)</f>
        <v>0</v>
      </c>
      <c r="BO61" s="6" t="str">
        <f>C61&amp;B61</f>
        <v/>
      </c>
    </row>
    <row r="62" spans="1:67" ht="15.75" customHeight="1">
      <c r="A62" s="8"/>
      <c r="B62" s="8"/>
      <c r="C62" s="444"/>
      <c r="D62" s="442"/>
      <c r="E62" s="442"/>
      <c r="F62" s="462"/>
      <c r="G62" s="463">
        <f>IF(ISERROR(VLOOKUP(A62,'Data Sheet Costs'!$A:$C,3,FALSE)),0,VLOOKUP(A62,'Data Sheet Costs'!$A:$C,3,FALSE))</f>
        <v>0</v>
      </c>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427"/>
      <c r="AR62" s="440">
        <f>(SUM(H62:AP62))*G62</f>
        <v>0</v>
      </c>
      <c r="AS62" s="440">
        <f>IF('Study Information &amp; rates'!$B$44="Yes",AR62*0.287,0)</f>
        <v>0</v>
      </c>
      <c r="AT62" s="440">
        <f>IF('Study Information &amp; rates'!$B$44="No",0,AR62*0.05)</f>
        <v>0</v>
      </c>
      <c r="AU62" s="440">
        <f>AR62+AS62+AT62</f>
        <v>0</v>
      </c>
      <c r="AV62" s="440">
        <f>'Set-up and other costs'!$B$18*AU62</f>
        <v>0</v>
      </c>
      <c r="BG62" s="6" t="b">
        <f>IF($B62='Look Up'!$A$5,$H62)</f>
        <v>0</v>
      </c>
      <c r="BH62" s="6" t="b">
        <f>IF($B62='Look Up'!$A$6,$H62)</f>
        <v>0</v>
      </c>
      <c r="BI62" s="6" t="b">
        <f>IF($B62='Look Up'!$A$7,$H62)</f>
        <v>0</v>
      </c>
      <c r="BJ62" s="6" t="b">
        <f>IF($B62='Look Up'!$A$7,$H62)</f>
        <v>0</v>
      </c>
      <c r="BO62" s="6" t="str">
        <f>C62&amp;B62</f>
        <v/>
      </c>
    </row>
    <row r="63" spans="1:67">
      <c r="A63" s="8"/>
      <c r="B63" s="8"/>
      <c r="C63" s="444"/>
      <c r="D63" s="442"/>
      <c r="E63" s="442"/>
      <c r="F63" s="462"/>
      <c r="G63" s="463">
        <f>IF(ISERROR(VLOOKUP(A63,'Data Sheet Costs'!$A:$C,3,FALSE)),0,VLOOKUP(A63,'Data Sheet Costs'!$A:$C,3,FALSE))</f>
        <v>0</v>
      </c>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427"/>
      <c r="AR63" s="440">
        <f>(SUM(H63:AP63))*G63</f>
        <v>0</v>
      </c>
      <c r="AS63" s="440">
        <f>IF('Study Information &amp; rates'!$B$44="Yes",AR63*0.287,0)</f>
        <v>0</v>
      </c>
      <c r="AT63" s="440">
        <f>IF('Study Information &amp; rates'!$B$44="No",0,AR63*0.05)</f>
        <v>0</v>
      </c>
      <c r="AU63" s="440">
        <f>AR63+AS63+AT63</f>
        <v>0</v>
      </c>
      <c r="AV63" s="440">
        <f>'Set-up and other costs'!$B$18*AU63</f>
        <v>0</v>
      </c>
      <c r="BG63" s="6" t="b">
        <f>IF($B63='Look Up'!$A$5,$H63)</f>
        <v>0</v>
      </c>
      <c r="BH63" s="6" t="b">
        <f>IF($B63='Look Up'!$A$6,$H63)</f>
        <v>0</v>
      </c>
      <c r="BI63" s="6" t="b">
        <f>IF($B63='Look Up'!$A$7,$H63)</f>
        <v>0</v>
      </c>
      <c r="BJ63" s="6" t="b">
        <f>IF($B63='Look Up'!$A$7,$H63)</f>
        <v>0</v>
      </c>
      <c r="BO63" s="6" t="str">
        <f>C63&amp;B63</f>
        <v/>
      </c>
    </row>
    <row r="64" spans="1:67">
      <c r="A64" s="8"/>
      <c r="B64" s="8"/>
      <c r="C64" s="444"/>
      <c r="D64" s="442"/>
      <c r="E64" s="442"/>
      <c r="F64" s="462"/>
      <c r="G64" s="463">
        <f>IF(ISERROR(VLOOKUP(A64,'Data Sheet Costs'!$A:$C,3,FALSE)),0,VLOOKUP(A64,'Data Sheet Costs'!$A:$C,3,FALSE))</f>
        <v>0</v>
      </c>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427"/>
      <c r="AR64" s="440">
        <f>(SUM(H64:AP64))*G64</f>
        <v>0</v>
      </c>
      <c r="AS64" s="440">
        <f>IF('Study Information &amp; rates'!$B$44="Yes",AR64*0.287,0)</f>
        <v>0</v>
      </c>
      <c r="AT64" s="440">
        <f>IF('Study Information &amp; rates'!$B$44="No",0,AR64*0.05)</f>
        <v>0</v>
      </c>
      <c r="AU64" s="440">
        <f>AR64+AS64+AT64</f>
        <v>0</v>
      </c>
      <c r="AV64" s="440">
        <f>'Set-up and other costs'!$B$18*AU64</f>
        <v>0</v>
      </c>
      <c r="BG64" s="6" t="b">
        <f>IF($B64='Look Up'!$A$5,$H64)</f>
        <v>0</v>
      </c>
      <c r="BH64" s="6" t="b">
        <f>IF($B64='Look Up'!$A$6,$H64)</f>
        <v>0</v>
      </c>
      <c r="BI64" s="6" t="b">
        <f>IF($B64='Look Up'!$A$7,$H64)</f>
        <v>0</v>
      </c>
      <c r="BJ64" s="6" t="b">
        <f>IF($B64='Look Up'!$A$7,$H64)</f>
        <v>0</v>
      </c>
      <c r="BO64" s="6" t="str">
        <f>C64&amp;B64</f>
        <v/>
      </c>
    </row>
    <row r="65" spans="1:67" ht="15.75" customHeight="1">
      <c r="A65" s="8"/>
      <c r="B65" s="8"/>
      <c r="C65" s="444"/>
      <c r="D65" s="442"/>
      <c r="E65" s="442"/>
      <c r="F65" s="462"/>
      <c r="G65" s="463">
        <f>IF(ISERROR(VLOOKUP(A65,'Data Sheet Costs'!$A:$C,3,FALSE)),0,VLOOKUP(A65,'Data Sheet Costs'!$A:$C,3,FALSE))</f>
        <v>0</v>
      </c>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427"/>
      <c r="AR65" s="440">
        <f>(SUM(H65:AP65))*G65</f>
        <v>0</v>
      </c>
      <c r="AS65" s="440">
        <f>IF('Study Information &amp; rates'!$B$44="Yes",AR65*0.287,0)</f>
        <v>0</v>
      </c>
      <c r="AT65" s="440">
        <f>IF('Study Information &amp; rates'!$B$44="No",0,AR65*0.05)</f>
        <v>0</v>
      </c>
      <c r="AU65" s="440">
        <f>AR65+AS65+AT65</f>
        <v>0</v>
      </c>
      <c r="AV65" s="440">
        <f>'Set-up and other costs'!$B$18*AU65</f>
        <v>0</v>
      </c>
      <c r="BG65" s="6" t="b">
        <f>IF($B65='Look Up'!$A$5,$H65)</f>
        <v>0</v>
      </c>
      <c r="BH65" s="6" t="b">
        <f>IF($B65='Look Up'!$A$6,$H65)</f>
        <v>0</v>
      </c>
      <c r="BI65" s="6" t="b">
        <f>IF($B65='Look Up'!$A$7,$H65)</f>
        <v>0</v>
      </c>
      <c r="BJ65" s="6" t="b">
        <f>IF($B65='Look Up'!$A$7,$H65)</f>
        <v>0</v>
      </c>
      <c r="BO65" s="6" t="str">
        <f>C65&amp;B65</f>
        <v/>
      </c>
    </row>
    <row r="66" spans="1:67">
      <c r="A66" s="8"/>
      <c r="B66" s="8"/>
      <c r="C66" s="444"/>
      <c r="D66" s="442"/>
      <c r="E66" s="442"/>
      <c r="F66" s="462"/>
      <c r="G66" s="463">
        <f>IF(ISERROR(VLOOKUP(A66,'Data Sheet Costs'!$A:$C,3,FALSE)),0,VLOOKUP(A66,'Data Sheet Costs'!$A:$C,3,FALSE))</f>
        <v>0</v>
      </c>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427"/>
      <c r="AR66" s="440">
        <f>(SUM(H66:AP66))*G66</f>
        <v>0</v>
      </c>
      <c r="AS66" s="440">
        <f>IF('Study Information &amp; rates'!$B$44="Yes",AR66*0.287,0)</f>
        <v>0</v>
      </c>
      <c r="AT66" s="440">
        <f>IF('Study Information &amp; rates'!$B$44="No",0,AR66*0.05)</f>
        <v>0</v>
      </c>
      <c r="AU66" s="440">
        <f>AR66+AS66+AT66</f>
        <v>0</v>
      </c>
      <c r="AV66" s="440">
        <f>'Set-up and other costs'!$B$18*AU66</f>
        <v>0</v>
      </c>
      <c r="BG66" s="6" t="b">
        <f>IF($B66='Look Up'!$A$5,$H66)</f>
        <v>0</v>
      </c>
      <c r="BH66" s="6" t="b">
        <f>IF($B66='Look Up'!$A$6,$H66)</f>
        <v>0</v>
      </c>
      <c r="BI66" s="6" t="b">
        <f>IF($B66='Look Up'!$A$7,$H66)</f>
        <v>0</v>
      </c>
      <c r="BJ66" s="6" t="b">
        <f>IF($B66='Look Up'!$A$7,$H66)</f>
        <v>0</v>
      </c>
      <c r="BO66" s="6" t="str">
        <f>C66&amp;B66</f>
        <v/>
      </c>
    </row>
    <row r="67" spans="1:67">
      <c r="A67" s="8"/>
      <c r="B67" s="8"/>
      <c r="C67" s="444"/>
      <c r="D67" s="442"/>
      <c r="E67" s="442"/>
      <c r="F67" s="462"/>
      <c r="G67" s="463">
        <f>IF(ISERROR(VLOOKUP(A67,'Data Sheet Costs'!$A:$C,3,FALSE)),0,VLOOKUP(A67,'Data Sheet Costs'!$A:$C,3,FALSE))</f>
        <v>0</v>
      </c>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427"/>
      <c r="AR67" s="440">
        <f>(SUM(H67:AP67))*G67</f>
        <v>0</v>
      </c>
      <c r="AS67" s="440">
        <f>IF('Study Information &amp; rates'!$B$44="Yes",AR67*0.287,0)</f>
        <v>0</v>
      </c>
      <c r="AT67" s="440">
        <f>IF('Study Information &amp; rates'!$B$44="No",0,AR67*0.05)</f>
        <v>0</v>
      </c>
      <c r="AU67" s="440">
        <f>AR67+AS67+AT67</f>
        <v>0</v>
      </c>
      <c r="AV67" s="440">
        <f>'Set-up and other costs'!$B$18*AU67</f>
        <v>0</v>
      </c>
      <c r="BG67" s="6" t="b">
        <f>IF($B67='Look Up'!$A$5,$H67)</f>
        <v>0</v>
      </c>
      <c r="BH67" s="6" t="b">
        <f>IF($B67='Look Up'!$A$6,$H67)</f>
        <v>0</v>
      </c>
      <c r="BI67" s="6" t="b">
        <f>IF($B67='Look Up'!$A$7,$H67)</f>
        <v>0</v>
      </c>
      <c r="BJ67" s="6" t="b">
        <f>IF($B67='Look Up'!$A$7,$H67)</f>
        <v>0</v>
      </c>
      <c r="BO67" s="6" t="str">
        <f>C67&amp;B67</f>
        <v/>
      </c>
    </row>
    <row r="68" spans="1:67" ht="15.75" customHeight="1">
      <c r="A68" s="8"/>
      <c r="B68" s="8"/>
      <c r="C68" s="444"/>
      <c r="D68" s="442"/>
      <c r="E68" s="442"/>
      <c r="F68" s="462"/>
      <c r="G68" s="463">
        <f>IF(ISERROR(VLOOKUP(A68,'Data Sheet Costs'!$A:$C,3,FALSE)),0,VLOOKUP(A68,'Data Sheet Costs'!$A:$C,3,FALSE))</f>
        <v>0</v>
      </c>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302"/>
      <c r="AO68" s="302"/>
      <c r="AP68" s="302"/>
      <c r="AQ68" s="427"/>
      <c r="AR68" s="440">
        <f>(SUM(H68:AP68))*G68</f>
        <v>0</v>
      </c>
      <c r="AS68" s="440">
        <f>IF('Study Information &amp; rates'!$B$44="Yes",AR68*0.287,0)</f>
        <v>0</v>
      </c>
      <c r="AT68" s="440">
        <f>IF('Study Information &amp; rates'!$B$44="No",0,AR68*0.05)</f>
        <v>0</v>
      </c>
      <c r="AU68" s="440">
        <f>AR68+AS68+AT68</f>
        <v>0</v>
      </c>
      <c r="AV68" s="440">
        <f>'Set-up and other costs'!$B$18*AU68</f>
        <v>0</v>
      </c>
      <c r="BG68" s="6" t="b">
        <f>IF($B68='Look Up'!$A$5,$H68)</f>
        <v>0</v>
      </c>
      <c r="BH68" s="6" t="b">
        <f>IF($B68='Look Up'!$A$6,$H68)</f>
        <v>0</v>
      </c>
      <c r="BI68" s="6" t="b">
        <f>IF($B68='Look Up'!$A$7,$H68)</f>
        <v>0</v>
      </c>
      <c r="BJ68" s="6" t="b">
        <f>IF($B68='Look Up'!$A$7,$H68)</f>
        <v>0</v>
      </c>
      <c r="BO68" s="6" t="str">
        <f>C68&amp;B68</f>
        <v/>
      </c>
    </row>
    <row r="69" spans="1:67">
      <c r="A69" s="8"/>
      <c r="B69" s="8"/>
      <c r="C69" s="444"/>
      <c r="D69" s="442"/>
      <c r="E69" s="442"/>
      <c r="F69" s="462"/>
      <c r="G69" s="463">
        <f>IF(ISERROR(VLOOKUP(A69,'Data Sheet Costs'!$A:$C,3,FALSE)),0,VLOOKUP(A69,'Data Sheet Costs'!$A:$C,3,FALSE))</f>
        <v>0</v>
      </c>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02"/>
      <c r="AP69" s="302"/>
      <c r="AQ69" s="427"/>
      <c r="AR69" s="440">
        <f>(SUM(H69:AP69))*G69</f>
        <v>0</v>
      </c>
      <c r="AS69" s="440">
        <f>IF('Study Information &amp; rates'!$B$44="Yes",AR69*0.287,0)</f>
        <v>0</v>
      </c>
      <c r="AT69" s="440">
        <f>IF('Study Information &amp; rates'!$B$44="No",0,AR69*0.05)</f>
        <v>0</v>
      </c>
      <c r="AU69" s="440">
        <f>AR69+AS69+AT69</f>
        <v>0</v>
      </c>
      <c r="AV69" s="440">
        <f>'Set-up and other costs'!$B$18*AU69</f>
        <v>0</v>
      </c>
      <c r="BG69" s="6" t="b">
        <f>IF($B69='Look Up'!$A$5,$H69)</f>
        <v>0</v>
      </c>
      <c r="BH69" s="6" t="b">
        <f>IF($B69='Look Up'!$A$6,$H69)</f>
        <v>0</v>
      </c>
      <c r="BI69" s="6" t="b">
        <f>IF($B69='Look Up'!$A$7,$H69)</f>
        <v>0</v>
      </c>
      <c r="BJ69" s="6" t="b">
        <f>IF($B69='Look Up'!$A$7,$H69)</f>
        <v>0</v>
      </c>
      <c r="BO69" s="6" t="str">
        <f>C69&amp;B69</f>
        <v/>
      </c>
    </row>
    <row r="70" spans="1:67">
      <c r="A70" s="8"/>
      <c r="B70" s="8"/>
      <c r="C70" s="444"/>
      <c r="D70" s="442"/>
      <c r="E70" s="442"/>
      <c r="F70" s="462"/>
      <c r="G70" s="463">
        <f>IF(ISERROR(VLOOKUP(A70,'Data Sheet Costs'!$A:$C,3,FALSE)),0,VLOOKUP(A70,'Data Sheet Costs'!$A:$C,3,FALSE))</f>
        <v>0</v>
      </c>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427"/>
      <c r="AR70" s="440">
        <f>(SUM(H70:AP70))*G70</f>
        <v>0</v>
      </c>
      <c r="AS70" s="440">
        <f>IF('Study Information &amp; rates'!$B$44="Yes",AR70*0.287,0)</f>
        <v>0</v>
      </c>
      <c r="AT70" s="440">
        <f>IF('Study Information &amp; rates'!$B$44="No",0,AR70*0.05)</f>
        <v>0</v>
      </c>
      <c r="AU70" s="440">
        <f>AR70+AS70+AT70</f>
        <v>0</v>
      </c>
      <c r="AV70" s="440">
        <f>'Set-up and other costs'!$B$18*AU70</f>
        <v>0</v>
      </c>
      <c r="BG70" s="6" t="b">
        <f>IF($B70='Look Up'!$A$5,$H70)</f>
        <v>0</v>
      </c>
      <c r="BH70" s="6" t="b">
        <f>IF($B70='Look Up'!$A$6,$H70)</f>
        <v>0</v>
      </c>
      <c r="BI70" s="6" t="b">
        <f>IF($B70='Look Up'!$A$7,$H70)</f>
        <v>0</v>
      </c>
      <c r="BJ70" s="6" t="b">
        <f>IF($B70='Look Up'!$A$7,$H70)</f>
        <v>0</v>
      </c>
      <c r="BO70" s="6" t="str">
        <f>C70&amp;B70</f>
        <v/>
      </c>
    </row>
    <row r="71" spans="1:67" ht="15.75" customHeight="1">
      <c r="A71" s="8"/>
      <c r="B71" s="8"/>
      <c r="C71" s="444"/>
      <c r="D71" s="442"/>
      <c r="E71" s="442"/>
      <c r="F71" s="462"/>
      <c r="G71" s="463">
        <f>IF(ISERROR(VLOOKUP(A71,'Data Sheet Costs'!$A:$C,3,FALSE)),0,VLOOKUP(A71,'Data Sheet Costs'!$A:$C,3,FALSE))</f>
        <v>0</v>
      </c>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427"/>
      <c r="AR71" s="440">
        <f>(SUM(H71:AP71))*G71</f>
        <v>0</v>
      </c>
      <c r="AS71" s="440">
        <f>IF('Study Information &amp; rates'!$B$44="Yes",AR71*0.287,0)</f>
        <v>0</v>
      </c>
      <c r="AT71" s="440">
        <f>IF('Study Information &amp; rates'!$B$44="No",0,AR71*0.05)</f>
        <v>0</v>
      </c>
      <c r="AU71" s="440">
        <f>AR71+AS71+AT71</f>
        <v>0</v>
      </c>
      <c r="AV71" s="440">
        <f>'Set-up and other costs'!$B$18*AU71</f>
        <v>0</v>
      </c>
      <c r="BG71" s="6" t="b">
        <f>IF($B71='Look Up'!$A$5,$H71)</f>
        <v>0</v>
      </c>
      <c r="BH71" s="6" t="b">
        <f>IF($B71='Look Up'!$A$6,$H71)</f>
        <v>0</v>
      </c>
      <c r="BI71" s="6" t="b">
        <f>IF($B71='Look Up'!$A$7,$H71)</f>
        <v>0</v>
      </c>
      <c r="BJ71" s="6" t="b">
        <f>IF($B71='Look Up'!$A$7,$H71)</f>
        <v>0</v>
      </c>
      <c r="BO71" s="6" t="str">
        <f>C71&amp;B71</f>
        <v/>
      </c>
    </row>
    <row r="72" spans="1:67">
      <c r="A72" s="8"/>
      <c r="B72" s="8"/>
      <c r="C72" s="444"/>
      <c r="D72" s="442"/>
      <c r="E72" s="442"/>
      <c r="F72" s="462"/>
      <c r="G72" s="463">
        <f>IF(ISERROR(VLOOKUP(A72,'Data Sheet Costs'!$A:$C,3,FALSE)),0,VLOOKUP(A72,'Data Sheet Costs'!$A:$C,3,FALSE))</f>
        <v>0</v>
      </c>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302"/>
      <c r="AP72" s="302"/>
      <c r="AQ72" s="427"/>
      <c r="AR72" s="440">
        <f>(SUM(H72:AP72))*G72</f>
        <v>0</v>
      </c>
      <c r="AS72" s="440">
        <f>IF('Study Information &amp; rates'!$B$44="Yes",AR72*0.287,0)</f>
        <v>0</v>
      </c>
      <c r="AT72" s="440">
        <f>IF('Study Information &amp; rates'!$B$44="No",0,AR72*0.05)</f>
        <v>0</v>
      </c>
      <c r="AU72" s="440">
        <f>AR72+AS72+AT72</f>
        <v>0</v>
      </c>
      <c r="AV72" s="440">
        <f>'Set-up and other costs'!$B$18*AU72</f>
        <v>0</v>
      </c>
      <c r="BG72" s="6" t="b">
        <f>IF($B72='Look Up'!$A$5,$H72)</f>
        <v>0</v>
      </c>
      <c r="BH72" s="6" t="b">
        <f>IF($B72='Look Up'!$A$6,$H72)</f>
        <v>0</v>
      </c>
      <c r="BI72" s="6" t="b">
        <f>IF($B72='Look Up'!$A$7,$H72)</f>
        <v>0</v>
      </c>
      <c r="BJ72" s="6" t="b">
        <f>IF($B72='Look Up'!$A$7,$H72)</f>
        <v>0</v>
      </c>
      <c r="BO72" s="6" t="str">
        <f>C72&amp;B72</f>
        <v/>
      </c>
    </row>
    <row r="73" spans="1:67">
      <c r="A73" s="8"/>
      <c r="B73" s="8"/>
      <c r="C73" s="444"/>
      <c r="D73" s="442"/>
      <c r="E73" s="442"/>
      <c r="F73" s="462"/>
      <c r="G73" s="463">
        <f>IF(ISERROR(VLOOKUP(A73,'Data Sheet Costs'!$A:$C,3,FALSE)),0,VLOOKUP(A73,'Data Sheet Costs'!$A:$C,3,FALSE))</f>
        <v>0</v>
      </c>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302"/>
      <c r="AP73" s="302"/>
      <c r="AQ73" s="427"/>
      <c r="AR73" s="440">
        <f>(SUM(H73:AP73))*G73</f>
        <v>0</v>
      </c>
      <c r="AS73" s="440">
        <f>IF('Study Information &amp; rates'!$B$44="Yes",AR73*0.287,0)</f>
        <v>0</v>
      </c>
      <c r="AT73" s="440">
        <f>IF('Study Information &amp; rates'!$B$44="No",0,AR73*0.05)</f>
        <v>0</v>
      </c>
      <c r="AU73" s="440">
        <f>AR73+AS73+AT73</f>
        <v>0</v>
      </c>
      <c r="AV73" s="440">
        <f>'Set-up and other costs'!$B$18*AU73</f>
        <v>0</v>
      </c>
      <c r="BG73" s="6" t="b">
        <f>IF($B73='Look Up'!$A$5,$H73)</f>
        <v>0</v>
      </c>
      <c r="BH73" s="6" t="b">
        <f>IF($B73='Look Up'!$A$6,$H73)</f>
        <v>0</v>
      </c>
      <c r="BI73" s="6" t="b">
        <f>IF($B73='Look Up'!$A$7,$H73)</f>
        <v>0</v>
      </c>
      <c r="BJ73" s="6" t="b">
        <f>IF($B73='Look Up'!$A$7,$H73)</f>
        <v>0</v>
      </c>
      <c r="BO73" s="6" t="str">
        <f>C73&amp;B73</f>
        <v/>
      </c>
    </row>
    <row r="74" spans="1:67" ht="15.75" customHeight="1">
      <c r="A74" s="8"/>
      <c r="B74" s="8"/>
      <c r="C74" s="444"/>
      <c r="D74" s="442"/>
      <c r="E74" s="442"/>
      <c r="F74" s="462"/>
      <c r="G74" s="463">
        <f>IF(ISERROR(VLOOKUP(A74,'Data Sheet Costs'!$A:$C,3,FALSE)),0,VLOOKUP(A74,'Data Sheet Costs'!$A:$C,3,FALSE))</f>
        <v>0</v>
      </c>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427"/>
      <c r="AR74" s="440">
        <f>(SUM(H74:AP74))*G74</f>
        <v>0</v>
      </c>
      <c r="AS74" s="440">
        <f>IF('Study Information &amp; rates'!$B$44="Yes",AR74*0.287,0)</f>
        <v>0</v>
      </c>
      <c r="AT74" s="440">
        <f>IF('Study Information &amp; rates'!$B$44="No",0,AR74*0.05)</f>
        <v>0</v>
      </c>
      <c r="AU74" s="440">
        <f>AR74+AS74+AT74</f>
        <v>0</v>
      </c>
      <c r="AV74" s="440">
        <f>'Set-up and other costs'!$B$18*AU74</f>
        <v>0</v>
      </c>
      <c r="BG74" s="6" t="b">
        <f>IF($B74='Look Up'!$A$5,$H74)</f>
        <v>0</v>
      </c>
      <c r="BH74" s="6" t="b">
        <f>IF($B74='Look Up'!$A$6,$H74)</f>
        <v>0</v>
      </c>
      <c r="BI74" s="6" t="b">
        <f>IF($B74='Look Up'!$A$7,$H74)</f>
        <v>0</v>
      </c>
      <c r="BJ74" s="6" t="b">
        <f>IF($B74='Look Up'!$A$7,$H74)</f>
        <v>0</v>
      </c>
      <c r="BO74" s="6" t="str">
        <f>C74&amp;B74</f>
        <v/>
      </c>
    </row>
    <row r="75" spans="1:67">
      <c r="A75" s="8"/>
      <c r="B75" s="8"/>
      <c r="C75" s="444"/>
      <c r="D75" s="442"/>
      <c r="E75" s="442"/>
      <c r="F75" s="462"/>
      <c r="G75" s="463">
        <f>IF(ISERROR(VLOOKUP(A75,'Data Sheet Costs'!$A:$C,3,FALSE)),0,VLOOKUP(A75,'Data Sheet Costs'!$A:$C,3,FALSE))</f>
        <v>0</v>
      </c>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427"/>
      <c r="AR75" s="440">
        <f>(SUM(H75:AP75))*G75</f>
        <v>0</v>
      </c>
      <c r="AS75" s="440">
        <f>IF('Study Information &amp; rates'!$B$44="Yes",AR75*0.287,0)</f>
        <v>0</v>
      </c>
      <c r="AT75" s="440">
        <f>IF('Study Information &amp; rates'!$B$44="No",0,AR75*0.05)</f>
        <v>0</v>
      </c>
      <c r="AU75" s="440">
        <f>AR75+AS75+AT75</f>
        <v>0</v>
      </c>
      <c r="AV75" s="440">
        <f>'Set-up and other costs'!$B$18*AU75</f>
        <v>0</v>
      </c>
      <c r="BG75" s="6" t="b">
        <f>IF($B75='Look Up'!$A$5,$H75)</f>
        <v>0</v>
      </c>
      <c r="BH75" s="6" t="b">
        <f>IF($B75='Look Up'!$A$6,$H75)</f>
        <v>0</v>
      </c>
      <c r="BI75" s="6" t="b">
        <f>IF($B75='Look Up'!$A$7,$H75)</f>
        <v>0</v>
      </c>
      <c r="BJ75" s="6" t="b">
        <f>IF($B75='Look Up'!$A$7,$H75)</f>
        <v>0</v>
      </c>
      <c r="BO75" s="6" t="str">
        <f>C75&amp;B75</f>
        <v/>
      </c>
    </row>
    <row r="76" spans="1:67">
      <c r="A76" s="8"/>
      <c r="B76" s="8"/>
      <c r="C76" s="444"/>
      <c r="D76" s="442"/>
      <c r="E76" s="442"/>
      <c r="F76" s="462"/>
      <c r="G76" s="463">
        <f>IF(ISERROR(VLOOKUP(A76,'Data Sheet Costs'!$A:$C,3,FALSE)),0,VLOOKUP(A76,'Data Sheet Costs'!$A:$C,3,FALSE))</f>
        <v>0</v>
      </c>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427"/>
      <c r="AR76" s="440">
        <f>(SUM(H76:AP76))*G76</f>
        <v>0</v>
      </c>
      <c r="AS76" s="440">
        <f>IF('Study Information &amp; rates'!$B$44="Yes",AR76*0.287,0)</f>
        <v>0</v>
      </c>
      <c r="AT76" s="440">
        <f>IF('Study Information &amp; rates'!$B$44="No",0,AR76*0.05)</f>
        <v>0</v>
      </c>
      <c r="AU76" s="440">
        <f>AR76+AS76+AT76</f>
        <v>0</v>
      </c>
      <c r="AV76" s="440">
        <f>'Set-up and other costs'!$B$18*AU76</f>
        <v>0</v>
      </c>
      <c r="BG76" s="6" t="b">
        <f>IF($B76='Look Up'!$A$5,$H76)</f>
        <v>0</v>
      </c>
      <c r="BH76" s="6" t="b">
        <f>IF($B76='Look Up'!$A$6,$H76)</f>
        <v>0</v>
      </c>
      <c r="BI76" s="6" t="b">
        <f>IF($B76='Look Up'!$A$7,$H76)</f>
        <v>0</v>
      </c>
      <c r="BJ76" s="6" t="b">
        <f>IF($B76='Look Up'!$A$7,$H76)</f>
        <v>0</v>
      </c>
      <c r="BO76" s="6" t="str">
        <f>C76&amp;B76</f>
        <v/>
      </c>
    </row>
    <row r="77" spans="1:67" ht="15.75" customHeight="1">
      <c r="A77" s="8"/>
      <c r="B77" s="8"/>
      <c r="C77" s="444"/>
      <c r="D77" s="442"/>
      <c r="E77" s="442"/>
      <c r="F77" s="462"/>
      <c r="G77" s="463">
        <f>IF(ISERROR(VLOOKUP(A77,'Data Sheet Costs'!$A:$C,3,FALSE)),0,VLOOKUP(A77,'Data Sheet Costs'!$A:$C,3,FALSE))</f>
        <v>0</v>
      </c>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427"/>
      <c r="AR77" s="440">
        <f>(SUM(H77:AP77))*G77</f>
        <v>0</v>
      </c>
      <c r="AS77" s="440">
        <f>IF('Study Information &amp; rates'!$B$44="Yes",AR77*0.287,0)</f>
        <v>0</v>
      </c>
      <c r="AT77" s="440">
        <f>IF('Study Information &amp; rates'!$B$44="No",0,AR77*0.05)</f>
        <v>0</v>
      </c>
      <c r="AU77" s="440">
        <f>AR77+AS77+AT77</f>
        <v>0</v>
      </c>
      <c r="AV77" s="440">
        <f>'Set-up and other costs'!$B$18*AU77</f>
        <v>0</v>
      </c>
      <c r="BG77" s="6" t="b">
        <f>IF($B77='Look Up'!$A$5,$H77)</f>
        <v>0</v>
      </c>
      <c r="BH77" s="6" t="b">
        <f>IF($B77='Look Up'!$A$6,$H77)</f>
        <v>0</v>
      </c>
      <c r="BI77" s="6" t="b">
        <f>IF($B77='Look Up'!$A$7,$H77)</f>
        <v>0</v>
      </c>
      <c r="BJ77" s="6" t="b">
        <f>IF($B77='Look Up'!$A$7,$H77)</f>
        <v>0</v>
      </c>
      <c r="BO77" s="6" t="str">
        <f>C77&amp;B77</f>
        <v/>
      </c>
    </row>
    <row r="78" spans="1:67">
      <c r="A78" s="8"/>
      <c r="B78" s="8"/>
      <c r="C78" s="444"/>
      <c r="D78" s="442"/>
      <c r="E78" s="442"/>
      <c r="F78" s="462"/>
      <c r="G78" s="463">
        <f>IF(ISERROR(VLOOKUP(A78,'Data Sheet Costs'!$A:$C,3,FALSE)),0,VLOOKUP(A78,'Data Sheet Costs'!$A:$C,3,FALSE))</f>
        <v>0</v>
      </c>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427"/>
      <c r="AR78" s="440">
        <f>(SUM(H78:AP78))*G78</f>
        <v>0</v>
      </c>
      <c r="AS78" s="440">
        <f>IF('Study Information &amp; rates'!$B$44="Yes",AR78*0.287,0)</f>
        <v>0</v>
      </c>
      <c r="AT78" s="440">
        <f>IF('Study Information &amp; rates'!$B$44="No",0,AR78*0.05)</f>
        <v>0</v>
      </c>
      <c r="AU78" s="440">
        <f>AR78+AS78+AT78</f>
        <v>0</v>
      </c>
      <c r="AV78" s="440">
        <f>'Set-up and other costs'!$B$18*AU78</f>
        <v>0</v>
      </c>
      <c r="BG78" s="6" t="b">
        <f>IF($B78='Look Up'!$A$5,$H78)</f>
        <v>0</v>
      </c>
      <c r="BH78" s="6" t="b">
        <f>IF($B78='Look Up'!$A$6,$H78)</f>
        <v>0</v>
      </c>
      <c r="BI78" s="6" t="b">
        <f>IF($B78='Look Up'!$A$7,$H78)</f>
        <v>0</v>
      </c>
      <c r="BJ78" s="6" t="b">
        <f>IF($B78='Look Up'!$A$7,$H78)</f>
        <v>0</v>
      </c>
      <c r="BO78" s="6" t="str">
        <f>C78&amp;B78</f>
        <v/>
      </c>
    </row>
    <row r="79" spans="1:67">
      <c r="A79" s="8"/>
      <c r="B79" s="8"/>
      <c r="C79" s="444"/>
      <c r="D79" s="442"/>
      <c r="E79" s="442"/>
      <c r="F79" s="462"/>
      <c r="G79" s="463">
        <f>IF(ISERROR(VLOOKUP(A79,'Data Sheet Costs'!$A:$C,3,FALSE)),0,VLOOKUP(A79,'Data Sheet Costs'!$A:$C,3,FALSE))</f>
        <v>0</v>
      </c>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427"/>
      <c r="AR79" s="440">
        <f>(SUM(H79:AP79))*G79</f>
        <v>0</v>
      </c>
      <c r="AS79" s="440">
        <f>IF('Study Information &amp; rates'!$B$44="Yes",AR79*0.287,0)</f>
        <v>0</v>
      </c>
      <c r="AT79" s="440">
        <f>IF('Study Information &amp; rates'!$B$44="No",0,AR79*0.05)</f>
        <v>0</v>
      </c>
      <c r="AU79" s="440">
        <f>AR79+AS79+AT79</f>
        <v>0</v>
      </c>
      <c r="AV79" s="440">
        <f>'Set-up and other costs'!$B$18*AU79</f>
        <v>0</v>
      </c>
      <c r="BG79" s="6" t="b">
        <f>IF($B79='Look Up'!$A$5,$H79)</f>
        <v>0</v>
      </c>
      <c r="BH79" s="6" t="b">
        <f>IF($B79='Look Up'!$A$6,$H79)</f>
        <v>0</v>
      </c>
      <c r="BI79" s="6" t="b">
        <f>IF($B79='Look Up'!$A$7,$H79)</f>
        <v>0</v>
      </c>
      <c r="BJ79" s="6" t="b">
        <f>IF($B79='Look Up'!$A$7,$H79)</f>
        <v>0</v>
      </c>
      <c r="BO79" s="6" t="str">
        <f>C79&amp;B79</f>
        <v/>
      </c>
    </row>
    <row r="80" spans="1:67" ht="15.75" customHeight="1">
      <c r="A80" s="8"/>
      <c r="B80" s="8"/>
      <c r="C80" s="444"/>
      <c r="D80" s="442"/>
      <c r="E80" s="442"/>
      <c r="F80" s="462"/>
      <c r="G80" s="463">
        <f>IF(ISERROR(VLOOKUP(A80,'Data Sheet Costs'!$A:$C,3,FALSE)),0,VLOOKUP(A80,'Data Sheet Costs'!$A:$C,3,FALSE))</f>
        <v>0</v>
      </c>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427"/>
      <c r="AR80" s="440">
        <f>(SUM(H80:AP80))*G80</f>
        <v>0</v>
      </c>
      <c r="AS80" s="440">
        <f>IF('Study Information &amp; rates'!$B$44="Yes",AR80*0.287,0)</f>
        <v>0</v>
      </c>
      <c r="AT80" s="440">
        <f>IF('Study Information &amp; rates'!$B$44="No",0,AR80*0.05)</f>
        <v>0</v>
      </c>
      <c r="AU80" s="440">
        <f>AR80+AS80+AT80</f>
        <v>0</v>
      </c>
      <c r="AV80" s="440">
        <f>'Set-up and other costs'!$B$18*AU80</f>
        <v>0</v>
      </c>
      <c r="BG80" s="6" t="b">
        <f>IF($B80='Look Up'!$A$5,$H80)</f>
        <v>0</v>
      </c>
      <c r="BH80" s="6" t="b">
        <f>IF($B80='Look Up'!$A$6,$H80)</f>
        <v>0</v>
      </c>
      <c r="BI80" s="6" t="b">
        <f>IF($B80='Look Up'!$A$7,$H80)</f>
        <v>0</v>
      </c>
      <c r="BJ80" s="6" t="b">
        <f>IF($B80='Look Up'!$A$7,$H80)</f>
        <v>0</v>
      </c>
      <c r="BO80" s="6" t="str">
        <f>C80&amp;B80</f>
        <v/>
      </c>
    </row>
    <row r="81" spans="1:67" ht="15" customHeight="1">
      <c r="A81" s="8"/>
      <c r="B81" s="8"/>
      <c r="C81" s="444"/>
      <c r="D81" s="460"/>
      <c r="E81" s="460"/>
      <c r="F81" s="461"/>
      <c r="G81" s="463">
        <f>IF(ISERROR(VLOOKUP(A81,'Data Sheet Costs'!$A:$C,3,FALSE)),0,VLOOKUP(A81,'Data Sheet Costs'!$A:$C,3,FALSE))</f>
        <v>0</v>
      </c>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c r="AP81" s="302"/>
      <c r="AQ81" s="427"/>
      <c r="AR81" s="440">
        <f>(SUM(H81:AP81))*G81</f>
        <v>0</v>
      </c>
      <c r="AS81" s="440">
        <f>IF('Study Information &amp; rates'!$B$44="Yes",AR81*0.287,0)</f>
        <v>0</v>
      </c>
      <c r="AT81" s="440">
        <f>IF('Study Information &amp; rates'!$B$44="No",0,AR81*0.05)</f>
        <v>0</v>
      </c>
      <c r="AU81" s="440">
        <f>AR81+AS81+AT81</f>
        <v>0</v>
      </c>
      <c r="AV81" s="440">
        <f>'Set-up and other costs'!$B$18*AU81</f>
        <v>0</v>
      </c>
      <c r="BG81" s="6" t="b">
        <f>IF($B81='Look Up'!$A$5,$H81)</f>
        <v>0</v>
      </c>
      <c r="BH81" s="6" t="b">
        <f>IF($B81='Look Up'!$A$6,$H81)</f>
        <v>0</v>
      </c>
      <c r="BI81" s="6" t="b">
        <f>IF($B81='Look Up'!$A$7,$H81)</f>
        <v>0</v>
      </c>
      <c r="BJ81" s="6" t="b">
        <f>IF($B81='Look Up'!$A$7,$H81)</f>
        <v>0</v>
      </c>
      <c r="BO81" s="6" t="str">
        <f>C81&amp;B81</f>
        <v/>
      </c>
    </row>
    <row r="82" spans="8:48">
      <c r="H82" s="4">
        <f>SUM(H56:H81)</f>
        <v>0</v>
      </c>
      <c r="I82" s="4">
        <f>SUM(I56:I81)</f>
        <v>0</v>
      </c>
      <c r="J82" s="4">
        <f>SUM(J56:J81)</f>
        <v>0</v>
      </c>
      <c r="K82" s="4">
        <f>SUM(K56:K81)</f>
        <v>0</v>
      </c>
      <c r="L82" s="4">
        <f>SUM(L56:L81)</f>
        <v>0</v>
      </c>
      <c r="M82" s="4">
        <f>SUM(M56:M81)</f>
        <v>0</v>
      </c>
      <c r="N82" s="4">
        <f>SUM(N56:N81)</f>
        <v>0</v>
      </c>
      <c r="O82" s="4">
        <f>SUM(O56:O81)</f>
        <v>0</v>
      </c>
      <c r="P82" s="4">
        <f>SUM(P56:P81)</f>
        <v>0</v>
      </c>
      <c r="Q82" s="4">
        <f>SUM(Q56:Q81)</f>
        <v>0</v>
      </c>
      <c r="R82" s="4">
        <f>SUM(R56:R81)</f>
        <v>0</v>
      </c>
      <c r="S82" s="4">
        <f>SUM(S56:S81)</f>
        <v>0</v>
      </c>
      <c r="T82" s="4">
        <f>SUM(T56:T81)</f>
        <v>0</v>
      </c>
      <c r="U82" s="4">
        <f>SUM(U56:U81)</f>
        <v>0</v>
      </c>
      <c r="V82" s="4">
        <f>SUM(V56:V81)</f>
        <v>0</v>
      </c>
      <c r="W82" s="4">
        <f>SUM(W56:W81)</f>
        <v>0</v>
      </c>
      <c r="X82" s="4">
        <f>SUM(X56:X81)</f>
        <v>0</v>
      </c>
      <c r="Y82" s="4">
        <f>SUM(Y56:Y81)</f>
        <v>0</v>
      </c>
      <c r="Z82" s="4">
        <f>SUM(Z56:Z81)</f>
        <v>0</v>
      </c>
      <c r="AA82" s="4">
        <f>SUM(AA56:AA81)</f>
        <v>0</v>
      </c>
      <c r="AB82" s="4">
        <f>SUM(AB56:AB81)</f>
        <v>0</v>
      </c>
      <c r="AC82" s="4">
        <f>SUM(AC56:AC81)</f>
        <v>0</v>
      </c>
      <c r="AD82" s="4">
        <f>SUM(AD56:AD81)</f>
        <v>0</v>
      </c>
      <c r="AE82" s="4">
        <f>SUM(AE56:AE81)</f>
        <v>0</v>
      </c>
      <c r="AF82" s="4">
        <f>SUM(AF56:AF81)</f>
        <v>0</v>
      </c>
      <c r="AG82" s="4">
        <f>SUM(AG56:AG81)</f>
        <v>0</v>
      </c>
      <c r="AH82" s="4">
        <f>SUM(AH56:AH81)</f>
        <v>0</v>
      </c>
      <c r="AI82" s="4">
        <f>SUM(AI56:AI81)</f>
        <v>0</v>
      </c>
      <c r="AJ82" s="4">
        <f>SUM(AJ56:AJ81)</f>
        <v>0</v>
      </c>
      <c r="AK82" s="4">
        <f>SUM(AK56:AK81)</f>
        <v>0</v>
      </c>
      <c r="AL82" s="4">
        <f>SUM(AL56:AL81)</f>
        <v>0</v>
      </c>
      <c r="AM82" s="4">
        <f>SUM(AM56:AM81)</f>
        <v>0</v>
      </c>
      <c r="AN82" s="4">
        <f>SUM(AN56:AN81)</f>
        <v>0</v>
      </c>
      <c r="AO82" s="4">
        <f>SUM(AO56:AO81)</f>
        <v>0</v>
      </c>
      <c r="AP82" s="4">
        <f>SUM(AP56:AP81)</f>
        <v>0</v>
      </c>
      <c r="AQ82" s="474"/>
      <c r="AR82" s="440">
        <f>SUM(AR56:AR81)</f>
        <v>0</v>
      </c>
      <c r="AS82" s="440">
        <f>SUM(AS56:AS81)</f>
        <v>0</v>
      </c>
      <c r="AT82" s="440">
        <f>SUM(AT56:AT81)</f>
        <v>0</v>
      </c>
      <c r="AU82" s="440">
        <f>SUM(AU56:AU81)</f>
        <v>0</v>
      </c>
      <c r="AV82" s="440">
        <f>'Set-up and other costs'!$B$18*AU82</f>
        <v>0</v>
      </c>
    </row>
    <row r="83" spans="43:48">
      <c r="AQ83" s="454"/>
      <c r="AR83" s="510"/>
      <c r="AS83" s="510"/>
      <c r="AT83" s="510"/>
      <c r="AU83" s="510"/>
      <c r="AV83" s="510"/>
    </row>
    <row r="84" spans="43:48" ht="13.5" thickBot="1">
      <c r="AQ84" s="454"/>
      <c r="AR84" s="510" t="s">
        <v>50</v>
      </c>
      <c r="AS84" s="510"/>
      <c r="AT84" s="510"/>
      <c r="AU84" s="510"/>
      <c r="AV84" s="510"/>
    </row>
    <row r="85" spans="1:59" ht="13.5" thickBot="1">
      <c r="A85" s="39" t="s">
        <v>1972</v>
      </c>
      <c r="B85" s="41"/>
      <c r="C85" s="41"/>
      <c r="D85" s="41"/>
      <c r="E85" s="41"/>
      <c r="F85" s="41"/>
      <c r="G85" s="42"/>
      <c r="H85" s="515">
        <f>(H48*'Study Information &amp; rates'!$B$101)</f>
        <v>0</v>
      </c>
      <c r="I85" s="516">
        <f>(I48*'Study Information &amp; rates'!$B$101)</f>
        <v>0</v>
      </c>
      <c r="J85" s="516">
        <f>(J48*'Study Information &amp; rates'!$B$101)</f>
        <v>0</v>
      </c>
      <c r="K85" s="516">
        <f>(K48*'Study Information &amp; rates'!$B$101)</f>
        <v>0</v>
      </c>
      <c r="L85" s="516">
        <f>(L48*'Study Information &amp; rates'!$B$101)</f>
        <v>0</v>
      </c>
      <c r="M85" s="516">
        <f>(M48*'Study Information &amp; rates'!$B$101)</f>
        <v>0</v>
      </c>
      <c r="N85" s="516">
        <f>(N48*'Study Information &amp; rates'!$B$101)</f>
        <v>0</v>
      </c>
      <c r="O85" s="516">
        <f>(O48*'Study Information &amp; rates'!$B$101)</f>
        <v>0</v>
      </c>
      <c r="P85" s="516">
        <f>(P48*'Study Information &amp; rates'!$B$101)</f>
        <v>0</v>
      </c>
      <c r="Q85" s="516">
        <f>(Q48*'Study Information &amp; rates'!$B$101)</f>
        <v>0</v>
      </c>
      <c r="R85" s="516">
        <f>(R48*'Study Information &amp; rates'!$B$101)</f>
        <v>0</v>
      </c>
      <c r="S85" s="516">
        <f>(S48*'Study Information &amp; rates'!$B$101)</f>
        <v>0</v>
      </c>
      <c r="T85" s="516">
        <f>(T48*'Study Information &amp; rates'!$B$101)</f>
        <v>0</v>
      </c>
      <c r="U85" s="516">
        <f>(U48*'Study Information &amp; rates'!$B$101)</f>
        <v>0</v>
      </c>
      <c r="V85" s="516">
        <f>(V48*'Study Information &amp; rates'!$B$101)</f>
        <v>0</v>
      </c>
      <c r="W85" s="516">
        <f>(W48*'Study Information &amp; rates'!$B$101)</f>
        <v>0</v>
      </c>
      <c r="X85" s="516">
        <f>(X48*'Study Information &amp; rates'!$B$101)</f>
        <v>0</v>
      </c>
      <c r="Y85" s="516">
        <f>(Y48*'Study Information &amp; rates'!$B$101)</f>
        <v>0</v>
      </c>
      <c r="Z85" s="516">
        <f>(Z48*'Study Information &amp; rates'!$B$101)</f>
        <v>0</v>
      </c>
      <c r="AA85" s="516">
        <f>(AA48*'Study Information &amp; rates'!$B$101)</f>
        <v>0</v>
      </c>
      <c r="AB85" s="516">
        <f>(AB48*'Study Information &amp; rates'!$B$101)</f>
        <v>0</v>
      </c>
      <c r="AC85" s="516">
        <f>(AC48*'Study Information &amp; rates'!$B$101)</f>
        <v>0</v>
      </c>
      <c r="AD85" s="516">
        <f>(AD48*'Study Information &amp; rates'!$B$101)</f>
        <v>0</v>
      </c>
      <c r="AE85" s="516">
        <f>(AE48*'Study Information &amp; rates'!$B$101)</f>
        <v>0</v>
      </c>
      <c r="AF85" s="516">
        <f>(AF48*'Study Information &amp; rates'!$B$101)</f>
        <v>0</v>
      </c>
      <c r="AG85" s="516">
        <f>(AG48*'Study Information &amp; rates'!$B$101)</f>
        <v>0</v>
      </c>
      <c r="AH85" s="516">
        <f>(AH48*'Study Information &amp; rates'!$B$101)</f>
        <v>0</v>
      </c>
      <c r="AI85" s="516">
        <f>(AI48*'Study Information &amp; rates'!$B$101)</f>
        <v>0</v>
      </c>
      <c r="AJ85" s="516">
        <f>(AJ48*'Study Information &amp; rates'!$B$101)</f>
        <v>0</v>
      </c>
      <c r="AK85" s="516">
        <f>(AK48*'Study Information &amp; rates'!$B$101)</f>
        <v>0</v>
      </c>
      <c r="AL85" s="516">
        <f>(AL48*'Study Information &amp; rates'!$B$101)</f>
        <v>0</v>
      </c>
      <c r="AM85" s="516">
        <f>(AM48*'Study Information &amp; rates'!$B$101)</f>
        <v>0</v>
      </c>
      <c r="AN85" s="516">
        <f>(AN48*'Study Information &amp; rates'!$B$101)</f>
        <v>0</v>
      </c>
      <c r="AO85" s="516">
        <f>(AO48*'Study Information &amp; rates'!$B$101)</f>
        <v>0</v>
      </c>
      <c r="AP85" s="516">
        <f>(AP48*'Study Information &amp; rates'!$B$101)</f>
        <v>0</v>
      </c>
      <c r="AQ85" s="473">
        <f>SUM(G85:AO85)</f>
        <v>0</v>
      </c>
      <c r="AR85" s="440">
        <f>'Set-up and other costs'!$B$18*AQ85</f>
        <v>0</v>
      </c>
      <c r="AS85" s="510"/>
      <c r="AT85" s="510"/>
      <c r="AU85" s="510"/>
      <c r="AV85" s="510"/>
      <c r="BB85" s="4">
        <f>SUMIF($BH:$BH,1,$C:$C)+SUMIF($BJ:$BJ,1,$C:$C)</f>
        <v>0</v>
      </c>
      <c r="BC85" s="275">
        <f>BB85*'Study Information &amp; rates'!$B$101</f>
        <v>0</v>
      </c>
      <c r="BD85" s="2">
        <f>IF('Study Information &amp; rates'!$B$44='Study Information &amp; rates'!$V$12,BC85*0.287,0)</f>
        <v>0</v>
      </c>
      <c r="BE85" s="2">
        <f>IF(($AR$52*'Study Information &amp; rates'!$B$27)&gt;5000,BC85*0.05,0)</f>
        <v>0</v>
      </c>
      <c r="BF85" s="2">
        <f>BC85+BD85+BE85</f>
        <v>0</v>
      </c>
      <c r="BG85" s="13" t="b">
        <f>BF85=BF48</f>
        <v>1</v>
      </c>
    </row>
    <row r="86" spans="1:59" ht="13.5" thickBot="1">
      <c r="A86" s="39" t="s">
        <v>1973</v>
      </c>
      <c r="B86" s="20"/>
      <c r="C86" s="20"/>
      <c r="D86" s="20"/>
      <c r="E86" s="20"/>
      <c r="F86" s="20"/>
      <c r="G86" s="43"/>
      <c r="H86" s="515">
        <f>(H49*'Study Information &amp; rates'!$C$101)</f>
        <v>0</v>
      </c>
      <c r="I86" s="515">
        <f>(I49*'Study Information &amp; rates'!$C$101)</f>
        <v>0</v>
      </c>
      <c r="J86" s="515">
        <f>(J49*'Study Information &amp; rates'!$C$101)</f>
        <v>0</v>
      </c>
      <c r="K86" s="515">
        <f>(K49*'Study Information &amp; rates'!$C$101)</f>
        <v>0</v>
      </c>
      <c r="L86" s="515">
        <f>(L49*'Study Information &amp; rates'!$C$101)</f>
        <v>0</v>
      </c>
      <c r="M86" s="515">
        <f>(M49*'Study Information &amp; rates'!$C$101)</f>
        <v>0</v>
      </c>
      <c r="N86" s="515">
        <f>(N49*'Study Information &amp; rates'!$C$101)</f>
        <v>0</v>
      </c>
      <c r="O86" s="515">
        <f>(O49*'Study Information &amp; rates'!$C$101)</f>
        <v>0</v>
      </c>
      <c r="P86" s="515">
        <f>(P49*'Study Information &amp; rates'!$C$101)</f>
        <v>0</v>
      </c>
      <c r="Q86" s="515">
        <f>(Q49*'Study Information &amp; rates'!$C$101)</f>
        <v>0</v>
      </c>
      <c r="R86" s="515">
        <f>(R49*'Study Information &amp; rates'!$C$101)</f>
        <v>0</v>
      </c>
      <c r="S86" s="515">
        <f>(S49*'Study Information &amp; rates'!$C$101)</f>
        <v>0</v>
      </c>
      <c r="T86" s="515">
        <f>(T49*'Study Information &amp; rates'!$C$101)</f>
        <v>0</v>
      </c>
      <c r="U86" s="515">
        <f>(U49*'Study Information &amp; rates'!$C$101)</f>
        <v>0</v>
      </c>
      <c r="V86" s="515">
        <f>(V49*'Study Information &amp; rates'!$C$101)</f>
        <v>0</v>
      </c>
      <c r="W86" s="515">
        <f>(W49*'Study Information &amp; rates'!$C$101)</f>
        <v>0</v>
      </c>
      <c r="X86" s="515">
        <f>(X49*'Study Information &amp; rates'!$C$101)</f>
        <v>0</v>
      </c>
      <c r="Y86" s="515">
        <f>(Y49*'Study Information &amp; rates'!$C$101)</f>
        <v>0</v>
      </c>
      <c r="Z86" s="515">
        <f>(Z49*'Study Information &amp; rates'!$C$101)</f>
        <v>0</v>
      </c>
      <c r="AA86" s="515">
        <f>(AA49*'Study Information &amp; rates'!$C$101)</f>
        <v>0</v>
      </c>
      <c r="AB86" s="515">
        <f>(AB49*'Study Information &amp; rates'!$C$101)</f>
        <v>0</v>
      </c>
      <c r="AC86" s="515">
        <f>(AC49*'Study Information &amp; rates'!$C$101)</f>
        <v>0</v>
      </c>
      <c r="AD86" s="515">
        <f>(AD49*'Study Information &amp; rates'!$C$101)</f>
        <v>0</v>
      </c>
      <c r="AE86" s="515">
        <f>(AE49*'Study Information &amp; rates'!$C$101)</f>
        <v>0</v>
      </c>
      <c r="AF86" s="515">
        <f>(AF49*'Study Information &amp; rates'!$C$101)</f>
        <v>0</v>
      </c>
      <c r="AG86" s="515">
        <f>(AG49*'Study Information &amp; rates'!$C$101)</f>
        <v>0</v>
      </c>
      <c r="AH86" s="515">
        <f>(AH49*'Study Information &amp; rates'!$C$101)</f>
        <v>0</v>
      </c>
      <c r="AI86" s="515">
        <f>(AI49*'Study Information &amp; rates'!$C$101)</f>
        <v>0</v>
      </c>
      <c r="AJ86" s="515">
        <f>(AJ49*'Study Information &amp; rates'!$C$101)</f>
        <v>0</v>
      </c>
      <c r="AK86" s="515">
        <f>(AK49*'Study Information &amp; rates'!$C$101)</f>
        <v>0</v>
      </c>
      <c r="AL86" s="515">
        <f>(AL49*'Study Information &amp; rates'!$C$101)</f>
        <v>0</v>
      </c>
      <c r="AM86" s="515">
        <f>(AM49*'Study Information &amp; rates'!$C$101)</f>
        <v>0</v>
      </c>
      <c r="AN86" s="515">
        <f>(AN49*'Study Information &amp; rates'!$C$101)</f>
        <v>0</v>
      </c>
      <c r="AO86" s="515">
        <f>(AO49*'Study Information &amp; rates'!$C$101)</f>
        <v>0</v>
      </c>
      <c r="AP86" s="515">
        <f>(AP49*'Study Information &amp; rates'!$C$101)</f>
        <v>0</v>
      </c>
      <c r="AQ86" s="473">
        <f>SUM(H86:AP86)</f>
        <v>0</v>
      </c>
      <c r="AR86" s="440">
        <f>'Set-up and other costs'!$B$18*AQ86</f>
        <v>0</v>
      </c>
      <c r="AS86" s="510"/>
      <c r="AT86" s="510"/>
      <c r="AU86" s="510"/>
      <c r="AV86" s="510"/>
      <c r="BB86" s="4">
        <f>SUMIF($BH:$BH,1,$D:$D)+SUMIF($BJ:$BJ,1,$D:$D)</f>
        <v>0</v>
      </c>
      <c r="BC86" s="275">
        <f>BB86*'Study Information &amp; rates'!$C$101</f>
        <v>0</v>
      </c>
      <c r="BD86" s="2">
        <f>IF('Study Information &amp; rates'!$B$44='Study Information &amp; rates'!$V$12,BC86*0.287,0)</f>
        <v>0</v>
      </c>
      <c r="BE86" s="2">
        <f>IF(($AR$52*'Study Information &amp; rates'!$B$27)&gt;5000,BC86*0.05,0)</f>
        <v>0</v>
      </c>
      <c r="BF86" s="2">
        <f>BC86+BD86+BE86</f>
        <v>0</v>
      </c>
      <c r="BG86" s="13" t="b">
        <f>BF86=BF49</f>
        <v>1</v>
      </c>
    </row>
    <row r="87" spans="1:59" ht="13.5" thickBot="1">
      <c r="A87" s="40" t="s">
        <v>47</v>
      </c>
      <c r="B87" s="20"/>
      <c r="C87" s="20"/>
      <c r="D87" s="20"/>
      <c r="E87" s="20"/>
      <c r="F87" s="20"/>
      <c r="G87" s="43"/>
      <c r="H87" s="521">
        <f>(H50*'Study Information &amp; rates'!$D$101)</f>
        <v>0</v>
      </c>
      <c r="I87" s="522">
        <f>(I50*'Study Information &amp; rates'!$D$101)</f>
        <v>0</v>
      </c>
      <c r="J87" s="522">
        <f>(J50*'Study Information &amp; rates'!$D$101)</f>
        <v>0</v>
      </c>
      <c r="K87" s="522">
        <f>(K50*'Study Information &amp; rates'!$D$101)</f>
        <v>0</v>
      </c>
      <c r="L87" s="522">
        <f>(L50*'Study Information &amp; rates'!$D$101)</f>
        <v>0</v>
      </c>
      <c r="M87" s="522">
        <f>(M50*'Study Information &amp; rates'!$D$101)</f>
        <v>0</v>
      </c>
      <c r="N87" s="522">
        <f>(N50*'Study Information &amp; rates'!$D$101)</f>
        <v>0</v>
      </c>
      <c r="O87" s="522">
        <f>(O50*'Study Information &amp; rates'!$D$101)</f>
        <v>0</v>
      </c>
      <c r="P87" s="522">
        <f>(P50*'Study Information &amp; rates'!$D$101)</f>
        <v>0</v>
      </c>
      <c r="Q87" s="522">
        <f>(Q50*'Study Information &amp; rates'!$D$101)</f>
        <v>0</v>
      </c>
      <c r="R87" s="522">
        <f>(R50*'Study Information &amp; rates'!$D$101)</f>
        <v>0</v>
      </c>
      <c r="S87" s="522">
        <f>(S50*'Study Information &amp; rates'!$D$101)</f>
        <v>0</v>
      </c>
      <c r="T87" s="522">
        <f>(T50*'Study Information &amp; rates'!$D$101)</f>
        <v>0</v>
      </c>
      <c r="U87" s="522">
        <f>(U50*'Study Information &amp; rates'!$D$101)</f>
        <v>0</v>
      </c>
      <c r="V87" s="522">
        <f>(V50*'Study Information &amp; rates'!$D$101)</f>
        <v>0</v>
      </c>
      <c r="W87" s="522">
        <f>(W50*'Study Information &amp; rates'!$D$101)</f>
        <v>0</v>
      </c>
      <c r="X87" s="522">
        <f>(X50*'Study Information &amp; rates'!$D$101)</f>
        <v>0</v>
      </c>
      <c r="Y87" s="522">
        <f>(Y50*'Study Information &amp; rates'!$D$101)</f>
        <v>0</v>
      </c>
      <c r="Z87" s="522">
        <f>(Z50*'Study Information &amp; rates'!$D$101)</f>
        <v>0</v>
      </c>
      <c r="AA87" s="522">
        <f>(AA50*'Study Information &amp; rates'!$D$101)</f>
        <v>0</v>
      </c>
      <c r="AB87" s="522">
        <f>(AB50*'Study Information &amp; rates'!$D$101)</f>
        <v>0</v>
      </c>
      <c r="AC87" s="522">
        <f>(AC50*'Study Information &amp; rates'!$D$101)</f>
        <v>0</v>
      </c>
      <c r="AD87" s="522">
        <f>(AD50*'Study Information &amp; rates'!$D$101)</f>
        <v>0</v>
      </c>
      <c r="AE87" s="522">
        <f>(AE50*'Study Information &amp; rates'!$D$101)</f>
        <v>0</v>
      </c>
      <c r="AF87" s="522">
        <f>(AF50*'Study Information &amp; rates'!$D$101)</f>
        <v>0</v>
      </c>
      <c r="AG87" s="522">
        <f>(AG50*'Study Information &amp; rates'!$D$101)</f>
        <v>0</v>
      </c>
      <c r="AH87" s="522">
        <f>(AH50*'Study Information &amp; rates'!$D$101)</f>
        <v>0</v>
      </c>
      <c r="AI87" s="522">
        <f>(AI50*'Study Information &amp; rates'!$D$101)</f>
        <v>0</v>
      </c>
      <c r="AJ87" s="522">
        <f>(AJ50*'Study Information &amp; rates'!$D$101)</f>
        <v>0</v>
      </c>
      <c r="AK87" s="522">
        <f>(AK50*'Study Information &amp; rates'!$D$101)</f>
        <v>0</v>
      </c>
      <c r="AL87" s="522">
        <f>(AL50*'Study Information &amp; rates'!$D$101)</f>
        <v>0</v>
      </c>
      <c r="AM87" s="522">
        <f>(AM50*'Study Information &amp; rates'!$D$101)</f>
        <v>0</v>
      </c>
      <c r="AN87" s="522">
        <f>(AN50*'Study Information &amp; rates'!$D$101)</f>
        <v>0</v>
      </c>
      <c r="AO87" s="522">
        <f>(AO50*'Study Information &amp; rates'!$D$101)</f>
        <v>0</v>
      </c>
      <c r="AP87" s="522">
        <f>(AP50*'Study Information &amp; rates'!$D$101)</f>
        <v>0</v>
      </c>
      <c r="AQ87" s="473">
        <f>SUM(H87:AP87)</f>
        <v>0</v>
      </c>
      <c r="AR87" s="440">
        <f>'Set-up and other costs'!$B$18*AQ87</f>
        <v>0</v>
      </c>
      <c r="AS87" s="510"/>
      <c r="AT87" s="510"/>
      <c r="AU87" s="510"/>
      <c r="AV87" s="510"/>
      <c r="BB87" s="4">
        <f>SUMIF($BH:$BH,1,$E:$E)+SUMIF($BJ:$BJ,1,$E:$E)</f>
        <v>0</v>
      </c>
      <c r="BC87" s="275">
        <f>BB87*'Study Information &amp; rates'!$D$101</f>
        <v>0</v>
      </c>
      <c r="BD87" s="2">
        <f>IF('Study Information &amp; rates'!$B$44='Study Information &amp; rates'!$V$12,BC87*0.287,0)</f>
        <v>0</v>
      </c>
      <c r="BE87" s="2">
        <f>IF(($AR$52*'Study Information &amp; rates'!$B$27)&gt;5000,BC87*0.05,0)</f>
        <v>0</v>
      </c>
      <c r="BF87" s="2">
        <f>BC87+BD87+BE87</f>
        <v>0</v>
      </c>
      <c r="BG87" s="13" t="b">
        <f>BF87=BF50</f>
        <v>1</v>
      </c>
    </row>
    <row r="88" spans="1:59" ht="13.5" thickBot="1">
      <c r="A88" s="44" t="s">
        <v>48</v>
      </c>
      <c r="B88" s="20"/>
      <c r="C88" s="20"/>
      <c r="D88" s="20"/>
      <c r="E88" s="20"/>
      <c r="F88" s="20"/>
      <c r="G88" s="43"/>
      <c r="H88" s="524">
        <f>(H51*'Study Information &amp; rates'!$F$101)</f>
        <v>0</v>
      </c>
      <c r="I88" s="525">
        <f>(I51*'Study Information &amp; rates'!$F$101)</f>
        <v>0</v>
      </c>
      <c r="J88" s="525">
        <f>(J51*'Study Information &amp; rates'!$F$101)</f>
        <v>0</v>
      </c>
      <c r="K88" s="525">
        <f>(K51*'Study Information &amp; rates'!$F$101)</f>
        <v>0</v>
      </c>
      <c r="L88" s="525">
        <f>(L51*'Study Information &amp; rates'!$F$101)</f>
        <v>0</v>
      </c>
      <c r="M88" s="525">
        <f>(M51*'Study Information &amp; rates'!$F$101)</f>
        <v>0</v>
      </c>
      <c r="N88" s="525">
        <f>(N51*'Study Information &amp; rates'!$F$101)</f>
        <v>0</v>
      </c>
      <c r="O88" s="525">
        <f>(O51*'Study Information &amp; rates'!$F$101)</f>
        <v>0</v>
      </c>
      <c r="P88" s="525">
        <f>(P51*'Study Information &amp; rates'!$F$101)</f>
        <v>0</v>
      </c>
      <c r="Q88" s="525">
        <f>(Q51*'Study Information &amp; rates'!$F$101)</f>
        <v>0</v>
      </c>
      <c r="R88" s="525">
        <f>(R51*'Study Information &amp; rates'!$F$101)</f>
        <v>0</v>
      </c>
      <c r="S88" s="525">
        <f>(S51*'Study Information &amp; rates'!$F$101)</f>
        <v>0</v>
      </c>
      <c r="T88" s="525">
        <f>(T51*'Study Information &amp; rates'!$F$101)</f>
        <v>0</v>
      </c>
      <c r="U88" s="525">
        <f>(U51*'Study Information &amp; rates'!$F$101)</f>
        <v>0</v>
      </c>
      <c r="V88" s="525">
        <f>(V51*'Study Information &amp; rates'!$F$101)</f>
        <v>0</v>
      </c>
      <c r="W88" s="525">
        <f>(W51*'Study Information &amp; rates'!$F$101)</f>
        <v>0</v>
      </c>
      <c r="X88" s="525">
        <f>(X51*'Study Information &amp; rates'!$F$101)</f>
        <v>0</v>
      </c>
      <c r="Y88" s="525">
        <f>(Y51*'Study Information &amp; rates'!$F$101)</f>
        <v>0</v>
      </c>
      <c r="Z88" s="525">
        <f>(Z51*'Study Information &amp; rates'!$F$101)</f>
        <v>0</v>
      </c>
      <c r="AA88" s="525">
        <f>(AA51*'Study Information &amp; rates'!$F$101)</f>
        <v>0</v>
      </c>
      <c r="AB88" s="525">
        <f>(AB51*'Study Information &amp; rates'!$F$101)</f>
        <v>0</v>
      </c>
      <c r="AC88" s="525">
        <f>(AC51*'Study Information &amp; rates'!$F$101)</f>
        <v>0</v>
      </c>
      <c r="AD88" s="525">
        <f>(AD51*'Study Information &amp; rates'!$F$101)</f>
        <v>0</v>
      </c>
      <c r="AE88" s="525">
        <f>(AE51*'Study Information &amp; rates'!$F$101)</f>
        <v>0</v>
      </c>
      <c r="AF88" s="525">
        <f>(AF51*'Study Information &amp; rates'!$F$101)</f>
        <v>0</v>
      </c>
      <c r="AG88" s="525">
        <f>(AG51*'Study Information &amp; rates'!$F$101)</f>
        <v>0</v>
      </c>
      <c r="AH88" s="525">
        <f>(AH51*'Study Information &amp; rates'!$F$101)</f>
        <v>0</v>
      </c>
      <c r="AI88" s="525">
        <f>(AI51*'Study Information &amp; rates'!$F$101)</f>
        <v>0</v>
      </c>
      <c r="AJ88" s="525">
        <f>(AJ51*'Study Information &amp; rates'!$F$101)</f>
        <v>0</v>
      </c>
      <c r="AK88" s="525">
        <f>(AK51*'Study Information &amp; rates'!$F$101)</f>
        <v>0</v>
      </c>
      <c r="AL88" s="525">
        <f>(AL51*'Study Information &amp; rates'!$F$101)</f>
        <v>0</v>
      </c>
      <c r="AM88" s="525">
        <f>(AM51*'Study Information &amp; rates'!$F$101)</f>
        <v>0</v>
      </c>
      <c r="AN88" s="525">
        <f>(AN51*'Study Information &amp; rates'!$F$101)</f>
        <v>0</v>
      </c>
      <c r="AO88" s="525">
        <f>(AO51*'Study Information &amp; rates'!$F$101)</f>
        <v>0</v>
      </c>
      <c r="AP88" s="525">
        <f>(AP51*'Study Information &amp; rates'!$F$101)</f>
        <v>0</v>
      </c>
      <c r="AQ88" s="473">
        <f>SUM(H88:AP88)</f>
        <v>0</v>
      </c>
      <c r="AR88" s="440">
        <f>'Set-up and other costs'!$B$18*AQ88</f>
        <v>0</v>
      </c>
      <c r="AS88" s="510"/>
      <c r="AT88" s="510"/>
      <c r="AU88" s="510"/>
      <c r="AV88" s="510"/>
      <c r="BB88" s="4">
        <f>SUMIF($BH:$BH,1,$F:$F)+SUMIF($BJ:$BJ,1,$F:$F)</f>
        <v>0</v>
      </c>
      <c r="BC88" s="275">
        <f>BB88*'Study Information &amp; rates'!$F$101</f>
        <v>0</v>
      </c>
      <c r="BD88" s="2">
        <f>IF('Study Information &amp; rates'!$B$44='Study Information &amp; rates'!$V$12,BC88*0.287,0)</f>
        <v>0</v>
      </c>
      <c r="BE88" s="2">
        <f>IF(($AR$52*'Study Information &amp; rates'!$B$27)&gt;5000,BC88*0.05,0)</f>
        <v>0</v>
      </c>
      <c r="BF88" s="2">
        <f>BC88+BD88+BE88</f>
        <v>0</v>
      </c>
      <c r="BG88" s="13" t="b">
        <f>BF88=BF51</f>
        <v>1</v>
      </c>
    </row>
    <row r="89" spans="1:58" ht="13.5" thickBot="1">
      <c r="A89" s="45" t="s">
        <v>49</v>
      </c>
      <c r="B89" s="46"/>
      <c r="C89" s="46"/>
      <c r="D89" s="46"/>
      <c r="E89" s="46"/>
      <c r="F89" s="46"/>
      <c r="G89" s="47"/>
      <c r="H89" s="529">
        <f>SUMPRODUCT($G$56:$G$81,H56:H81)</f>
        <v>0</v>
      </c>
      <c r="I89" s="530">
        <f>SUMPRODUCT($G$56:$G$81,I56:I81)</f>
        <v>0</v>
      </c>
      <c r="J89" s="530">
        <f>SUMPRODUCT($G$56:$G$81,J56:J81)</f>
        <v>0</v>
      </c>
      <c r="K89" s="530">
        <f>SUMPRODUCT($G$56:$G$81,K56:K81)</f>
        <v>0</v>
      </c>
      <c r="L89" s="530">
        <f>SUMPRODUCT($G$56:$G$81,L56:L81)</f>
        <v>0</v>
      </c>
      <c r="M89" s="530">
        <f>SUMPRODUCT($G$56:$G$81,M56:M81)</f>
        <v>0</v>
      </c>
      <c r="N89" s="530">
        <f>SUMPRODUCT($G$56:$G$81,N56:N81)</f>
        <v>0</v>
      </c>
      <c r="O89" s="530">
        <f>SUMPRODUCT($G$56:$G$81,O56:O81)</f>
        <v>0</v>
      </c>
      <c r="P89" s="530">
        <f>SUMPRODUCT($G$56:$G$81,P56:P81)</f>
        <v>0</v>
      </c>
      <c r="Q89" s="530">
        <f>SUMPRODUCT($G$56:$G$81,Q56:Q81)</f>
        <v>0</v>
      </c>
      <c r="R89" s="530">
        <f>SUMPRODUCT($G$56:$G$81,R56:R81)</f>
        <v>0</v>
      </c>
      <c r="S89" s="530">
        <f>SUMPRODUCT($G$56:$G$81,S56:S81)</f>
        <v>0</v>
      </c>
      <c r="T89" s="530">
        <f>SUMPRODUCT($G$56:$G$81,T56:T81)</f>
        <v>0</v>
      </c>
      <c r="U89" s="530">
        <f>SUMPRODUCT($G$56:$G$81,U56:U81)</f>
        <v>0</v>
      </c>
      <c r="V89" s="530">
        <f>SUMPRODUCT($G$56:$G$81,V56:V81)</f>
        <v>0</v>
      </c>
      <c r="W89" s="530">
        <f>SUMPRODUCT($G$56:$G$81,W56:W81)</f>
        <v>0</v>
      </c>
      <c r="X89" s="530">
        <f>SUMPRODUCT($G$56:$G$81,X56:X81)</f>
        <v>0</v>
      </c>
      <c r="Y89" s="530">
        <f>SUMPRODUCT($G$56:$G$81,Y56:Y81)</f>
        <v>0</v>
      </c>
      <c r="Z89" s="530">
        <f>SUMPRODUCT($G$56:$G$81,Z56:Z81)</f>
        <v>0</v>
      </c>
      <c r="AA89" s="530">
        <f>SUMPRODUCT($G$56:$G$81,AA56:AA81)</f>
        <v>0</v>
      </c>
      <c r="AB89" s="530">
        <f>SUMPRODUCT($G$56:$G$81,AB56:AB81)</f>
        <v>0</v>
      </c>
      <c r="AC89" s="530">
        <f>SUMPRODUCT($G$56:$G$81,AC56:AC81)</f>
        <v>0</v>
      </c>
      <c r="AD89" s="530">
        <f>SUMPRODUCT($G$56:$G$81,AD56:AD81)</f>
        <v>0</v>
      </c>
      <c r="AE89" s="530">
        <f>SUMPRODUCT($G$56:$G$81,AE56:AE81)</f>
        <v>0</v>
      </c>
      <c r="AF89" s="530">
        <f>SUMPRODUCT($G$56:$G$81,AF56:AF81)</f>
        <v>0</v>
      </c>
      <c r="AG89" s="530">
        <f>SUMPRODUCT($G$56:$G$81,AG56:AG81)</f>
        <v>0</v>
      </c>
      <c r="AH89" s="530">
        <f>SUMPRODUCT($G$56:$G$81,AH56:AH81)</f>
        <v>0</v>
      </c>
      <c r="AI89" s="530">
        <f>SUMPRODUCT($G$56:$G$81,AI56:AI81)</f>
        <v>0</v>
      </c>
      <c r="AJ89" s="530">
        <f>SUMPRODUCT($G$56:$G$81,AJ56:AJ81)</f>
        <v>0</v>
      </c>
      <c r="AK89" s="530">
        <f>SUMPRODUCT($G$56:$G$81,AK56:AK81)</f>
        <v>0</v>
      </c>
      <c r="AL89" s="530">
        <f>SUMPRODUCT($G$56:$G$81,AL56:AL81)</f>
        <v>0</v>
      </c>
      <c r="AM89" s="530">
        <f>SUMPRODUCT($G$56:$G$81,AM56:AM81)</f>
        <v>0</v>
      </c>
      <c r="AN89" s="530">
        <f>SUMPRODUCT($G$56:$G$81,AN56:AN81)</f>
        <v>0</v>
      </c>
      <c r="AO89" s="530">
        <f>SUMPRODUCT($G$56:$G$81,AO56:AO81)</f>
        <v>0</v>
      </c>
      <c r="AP89" s="530">
        <f>SUMPRODUCT($G$56:$G$81,AP56:AP81)</f>
        <v>0</v>
      </c>
      <c r="AQ89" s="473">
        <f>SUM(H89:AP89)</f>
        <v>0</v>
      </c>
      <c r="AR89" s="440">
        <f>'Set-up and other costs'!$B$18*AQ89</f>
        <v>0</v>
      </c>
      <c r="AS89" s="510"/>
      <c r="AT89" s="510"/>
      <c r="AU89" s="510"/>
      <c r="AV89" s="510"/>
      <c r="BB89" s="4">
        <f>SUMIF($BH56:$BH81,1,G56:G81)+SUMIF($BJ56:$BJ81,1,G56:G81)</f>
        <v>0</v>
      </c>
      <c r="BF89" s="2">
        <f>BB89</f>
        <v>0</v>
      </c>
    </row>
    <row r="90" spans="1:58" ht="13.5" thickBot="1">
      <c r="A90" s="553"/>
      <c r="B90" s="20"/>
      <c r="C90" s="20"/>
      <c r="D90" s="20"/>
      <c r="E90" s="20"/>
      <c r="F90" s="20"/>
      <c r="G90" s="20"/>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548"/>
      <c r="AI90" s="548"/>
      <c r="AJ90" s="548"/>
      <c r="AK90" s="548"/>
      <c r="AL90" s="548"/>
      <c r="AM90" s="548"/>
      <c r="AN90" s="548"/>
      <c r="AO90" s="548"/>
      <c r="AP90" s="548"/>
      <c r="AQ90" s="549"/>
      <c r="AR90" s="550"/>
      <c r="AS90" s="510"/>
      <c r="AT90" s="510"/>
      <c r="AU90" s="510"/>
      <c r="AV90" s="510"/>
      <c r="BB90" s="554"/>
      <c r="BF90" s="555"/>
    </row>
    <row r="91" spans="8:48" ht="13.5" hidden="1" thickBot="1">
      <c r="H91" s="510">
        <f>SUM(H85:H89)</f>
        <v>0</v>
      </c>
      <c r="I91" s="510">
        <f>SUM(I85:I89)</f>
        <v>0</v>
      </c>
      <c r="J91" s="510">
        <f>SUM(J85:J89)</f>
        <v>0</v>
      </c>
      <c r="K91" s="510">
        <f>SUM(K85:K89)</f>
        <v>0</v>
      </c>
      <c r="L91" s="510">
        <f>SUM(L85:L89)</f>
        <v>0</v>
      </c>
      <c r="M91" s="510">
        <f>SUM(M85:M89)</f>
        <v>0</v>
      </c>
      <c r="N91" s="510">
        <f>SUM(N85:N89)</f>
        <v>0</v>
      </c>
      <c r="O91" s="510">
        <f>SUM(O85:O89)</f>
        <v>0</v>
      </c>
      <c r="P91" s="510">
        <f>SUM(P85:P89)</f>
        <v>0</v>
      </c>
      <c r="Q91" s="510">
        <f>SUM(Q85:Q89)</f>
        <v>0</v>
      </c>
      <c r="R91" s="510">
        <f>SUM(R85:R89)</f>
        <v>0</v>
      </c>
      <c r="S91" s="510">
        <f>SUM(S85:S89)</f>
        <v>0</v>
      </c>
      <c r="T91" s="510">
        <f>SUM(T85:T89)</f>
        <v>0</v>
      </c>
      <c r="U91" s="510">
        <f>SUM(U85:U89)</f>
        <v>0</v>
      </c>
      <c r="V91" s="510">
        <f>SUM(V85:V89)</f>
        <v>0</v>
      </c>
      <c r="W91" s="510">
        <f>SUM(W85:W89)</f>
        <v>0</v>
      </c>
      <c r="X91" s="510">
        <f>SUM(X85:X89)</f>
        <v>0</v>
      </c>
      <c r="Y91" s="510">
        <f>SUM(Y85:Y89)</f>
        <v>0</v>
      </c>
      <c r="Z91" s="510">
        <f>SUM(Z85:Z89)</f>
        <v>0</v>
      </c>
      <c r="AA91" s="510">
        <f>SUM(AA85:AA89)</f>
        <v>0</v>
      </c>
      <c r="AB91" s="510">
        <f>SUM(AB85:AB89)</f>
        <v>0</v>
      </c>
      <c r="AC91" s="510">
        <f>SUM(AC85:AC89)</f>
        <v>0</v>
      </c>
      <c r="AD91" s="510">
        <f>SUM(AD85:AD89)</f>
        <v>0</v>
      </c>
      <c r="AE91" s="510">
        <f>SUM(AE85:AE89)</f>
        <v>0</v>
      </c>
      <c r="AF91" s="510">
        <f>SUM(AF85:AF89)</f>
        <v>0</v>
      </c>
      <c r="AG91" s="510">
        <f>SUM(AG85:AG89)</f>
        <v>0</v>
      </c>
      <c r="AH91" s="510">
        <f>SUM(AH85:AH89)</f>
        <v>0</v>
      </c>
      <c r="AI91" s="510">
        <f>SUM(AI85:AI89)</f>
        <v>0</v>
      </c>
      <c r="AJ91" s="510">
        <f>SUM(AJ85:AJ89)</f>
        <v>0</v>
      </c>
      <c r="AK91" s="510">
        <f>SUM(AK85:AK89)</f>
        <v>0</v>
      </c>
      <c r="AL91" s="510">
        <f>SUM(AL85:AL89)</f>
        <v>0</v>
      </c>
      <c r="AM91" s="510">
        <f>SUM(AM85:AM89)</f>
        <v>0</v>
      </c>
      <c r="AN91" s="510">
        <f>SUM(AN85:AN89)</f>
        <v>0</v>
      </c>
      <c r="AO91" s="510">
        <f>SUM(AO85:AO89)</f>
        <v>0</v>
      </c>
      <c r="AP91" s="510">
        <f>SUM(AP85:AP89)</f>
        <v>0</v>
      </c>
      <c r="AQ91" s="510"/>
      <c r="AR91" s="510"/>
      <c r="AS91" s="510"/>
      <c r="AT91" s="510"/>
      <c r="AU91" s="510"/>
      <c r="AV91" s="510"/>
    </row>
    <row r="92" spans="1:59" ht="13.5" thickBot="1">
      <c r="A92" s="48" t="s">
        <v>53</v>
      </c>
      <c r="B92" s="46"/>
      <c r="C92" s="46"/>
      <c r="D92" s="46"/>
      <c r="E92" s="46"/>
      <c r="F92" s="46"/>
      <c r="G92" s="47"/>
      <c r="H92" s="530">
        <f>IF('Study Information &amp; rates'!$B$44="No",SUM(H85:H89),(0.337*H91)+H91)</f>
        <v>0</v>
      </c>
      <c r="I92" s="530">
        <f>IF('Study Information &amp; rates'!$B$44="No",SUM(I85:I89),(0.337*I91)+I91)</f>
        <v>0</v>
      </c>
      <c r="J92" s="530">
        <f>IF('Study Information &amp; rates'!$B$44="No",SUM(J85:J89),(0.337*J91)+J91)</f>
        <v>0</v>
      </c>
      <c r="K92" s="530">
        <f>IF('Study Information &amp; rates'!$B$44="No",SUM(K85:K89),(0.337*K91)+K91)</f>
        <v>0</v>
      </c>
      <c r="L92" s="530">
        <f>IF('Study Information &amp; rates'!$B$44="No",SUM(L85:L89),(0.337*L91)+L91)</f>
        <v>0</v>
      </c>
      <c r="M92" s="530">
        <f>IF('Study Information &amp; rates'!$B$44="No",SUM(M85:M89),(0.337*M91)+M91)</f>
        <v>0</v>
      </c>
      <c r="N92" s="530">
        <f>IF('Study Information &amp; rates'!$B$44="No",SUM(N85:N89),(0.337*N91)+N91)</f>
        <v>0</v>
      </c>
      <c r="O92" s="530">
        <f>IF('Study Information &amp; rates'!$B$44="No",SUM(O85:O89),(0.337*O91)+O91)</f>
        <v>0</v>
      </c>
      <c r="P92" s="530">
        <f>IF('Study Information &amp; rates'!$B$44="No",SUM(P85:P89),(0.337*P91)+P91)</f>
        <v>0</v>
      </c>
      <c r="Q92" s="530">
        <f>IF('Study Information &amp; rates'!$B$44="No",SUM(Q85:Q89),(0.337*Q91)+Q91)</f>
        <v>0</v>
      </c>
      <c r="R92" s="530">
        <f>IF('Study Information &amp; rates'!$B$44="No",SUM(R85:R89),(0.337*R91)+R91)</f>
        <v>0</v>
      </c>
      <c r="S92" s="530">
        <f>IF('Study Information &amp; rates'!$B$44="No",SUM(S85:S89),(0.337*S91)+S91)</f>
        <v>0</v>
      </c>
      <c r="T92" s="530">
        <f>IF('Study Information &amp; rates'!$B$44="No",SUM(T85:T89),(0.337*T91)+T91)</f>
        <v>0</v>
      </c>
      <c r="U92" s="530">
        <f>IF('Study Information &amp; rates'!$B$44="No",SUM(U85:U89),(0.337*U91)+U91)</f>
        <v>0</v>
      </c>
      <c r="V92" s="530">
        <f>IF('Study Information &amp; rates'!$B$44="No",SUM(V85:V89),(0.337*V91)+V91)</f>
        <v>0</v>
      </c>
      <c r="W92" s="530">
        <f>IF('Study Information &amp; rates'!$B$44="No",SUM(W85:W89),(0.337*W91)+W91)</f>
        <v>0</v>
      </c>
      <c r="X92" s="530">
        <f>IF('Study Information &amp; rates'!$B$44="No",SUM(X85:X89),(0.337*X91)+X91)</f>
        <v>0</v>
      </c>
      <c r="Y92" s="530">
        <f>IF('Study Information &amp; rates'!$B$44="No",SUM(Y85:Y89),(0.337*Y91)+Y91)</f>
        <v>0</v>
      </c>
      <c r="Z92" s="530">
        <f>IF('Study Information &amp; rates'!$B$44="No",SUM(Z85:Z89),(0.337*Z91)+Z91)</f>
        <v>0</v>
      </c>
      <c r="AA92" s="530">
        <f>IF('Study Information &amp; rates'!$B$44="No",SUM(AA85:AA89),(0.337*AA91)+AA91)</f>
        <v>0</v>
      </c>
      <c r="AB92" s="530">
        <f>IF('Study Information &amp; rates'!$B$44="No",SUM(AB85:AB89),(0.337*AB91)+AB91)</f>
        <v>0</v>
      </c>
      <c r="AC92" s="530">
        <f>IF('Study Information &amp; rates'!$B$44="No",SUM(AC85:AC89),(0.337*AC91)+AC91)</f>
        <v>0</v>
      </c>
      <c r="AD92" s="530">
        <f>IF('Study Information &amp; rates'!$B$44="No",SUM(AD85:AD89),(0.337*AD91)+AD91)</f>
        <v>0</v>
      </c>
      <c r="AE92" s="530">
        <f>IF('Study Information &amp; rates'!$B$44="No",SUM(AE85:AE89),(0.337*AE91)+AE91)</f>
        <v>0</v>
      </c>
      <c r="AF92" s="530">
        <f>IF('Study Information &amp; rates'!$B$44="No",SUM(AF85:AF89),(0.337*AF91)+AF91)</f>
        <v>0</v>
      </c>
      <c r="AG92" s="530">
        <f>IF('Study Information &amp; rates'!$B$44="No",SUM(AG85:AG89),(0.337*AG91)+AG91)</f>
        <v>0</v>
      </c>
      <c r="AH92" s="530">
        <f>IF('Study Information &amp; rates'!$B$44="No",SUM(AH85:AH89),(0.337*AH91)+AH91)</f>
        <v>0</v>
      </c>
      <c r="AI92" s="530">
        <f>IF('Study Information &amp; rates'!$B$44="No",SUM(AI85:AI89),(0.337*AI91)+AI91)</f>
        <v>0</v>
      </c>
      <c r="AJ92" s="530">
        <f>IF('Study Information &amp; rates'!$B$44="No",SUM(AJ85:AJ89),(0.337*AJ91)+AJ91)</f>
        <v>0</v>
      </c>
      <c r="AK92" s="530">
        <f>IF('Study Information &amp; rates'!$B$44="No",SUM(AK85:AK89),(0.337*AK91)+AK91)</f>
        <v>0</v>
      </c>
      <c r="AL92" s="530">
        <f>IF('Study Information &amp; rates'!$B$44="No",SUM(AL85:AL89),(0.337*AL91)+AL91)</f>
        <v>0</v>
      </c>
      <c r="AM92" s="530">
        <f>IF('Study Information &amp; rates'!$B$44="No",SUM(AM85:AM89),(0.337*AM91)+AM91)</f>
        <v>0</v>
      </c>
      <c r="AN92" s="530">
        <f>IF('Study Information &amp; rates'!$B$44="No",SUM(AN85:AN89),(0.337*AN91)+AN91)</f>
        <v>0</v>
      </c>
      <c r="AO92" s="530">
        <f>IF('Study Information &amp; rates'!$B$44="No",SUM(AO85:AO89),(0.337*AO91)+AO91)</f>
        <v>0</v>
      </c>
      <c r="AP92" s="530">
        <f>IF('Study Information &amp; rates'!$B$44="No",SUM(AP85:AP89),(0.337*AP91)+AP91)</f>
        <v>0</v>
      </c>
      <c r="AQ92" s="545">
        <f>SUM(H92:AP92)</f>
        <v>0</v>
      </c>
      <c r="AR92" s="440">
        <f>'Set-up and other costs'!$B$18*AQ92</f>
        <v>0</v>
      </c>
      <c r="AS92" s="510"/>
      <c r="AT92" s="510"/>
      <c r="AU92" s="510"/>
      <c r="AV92" s="510"/>
      <c r="BG92" s="2">
        <f>SUM(BF85:BF89)</f>
        <v>0</v>
      </c>
    </row>
  </sheetData>
  <sheetProtection password="9437" sheet="1" objects="1" scenarios="1"/>
  <conditionalFormatting sqref="AW51:AZ51">
    <cfRule type="containsText" dxfId="84" operator="containsText" text="False" priority="5">
      <formula>NOT(ISERROR(SEARCH("False",AW51)))</formula>
    </cfRule>
    <cfRule type="containsText" dxfId="85" operator="containsText" text="True" priority="6">
      <formula>NOT(ISERROR(SEARCH("True",AW51)))</formula>
    </cfRule>
  </conditionalFormatting>
  <conditionalFormatting sqref="B2">
    <cfRule type="containsText" dxfId="86" operator="containsText" text="False" priority="3">
      <formula>NOT(ISERROR(SEARCH("False",B2)))</formula>
    </cfRule>
    <cfRule type="containsText" dxfId="87" operator="containsText" text="True" priority="4">
      <formula>NOT(ISERROR(SEARCH("True",B2)))</formula>
    </cfRule>
  </conditionalFormatting>
  <conditionalFormatting sqref="BG85:BG88">
    <cfRule type="containsText" dxfId="88" operator="containsText" text="False" priority="1">
      <formula>NOT(ISERROR(SEARCH("False",BG85)))</formula>
    </cfRule>
    <cfRule type="containsText" dxfId="89" operator="containsText" text="True" priority="2">
      <formula>NOT(ISERROR(SEARCH("True",BG85)))</formula>
    </cfRule>
  </conditionalFormatting>
  <dataValidations count="6">
    <dataValidation type="whole" operator="greaterThan" allowBlank="1" showInputMessage="1" showErrorMessage="1" sqref="H56:AQ56 H8:AQ46">
      <formula1>0</formula1>
    </dataValidation>
    <dataValidation type="list" allowBlank="1" showInputMessage="1" sqref="A8:A46 A56:A81">
      <formula1>CostList</formula1>
    </dataValidation>
    <dataValidation type="list" allowBlank="1" showInputMessage="1" showErrorMessage="1" sqref="B56:B81 B8:B46">
      <formula1>AcCord</formula1>
    </dataValidation>
    <dataValidation type="list" allowBlank="1" showInputMessage="1" showErrorMessage="1" sqref="C56:C81">
      <formula1>Alan2</formula1>
    </dataValidation>
    <dataValidation type="list" allowBlank="1" showInputMessage="1" showErrorMessage="1" sqref="B8:B46">
      <formula1>'Look Up'!A5:A9</formula1>
    </dataValidation>
    <dataValidation type="list" allowBlank="1" showInputMessage="1" showErrorMessage="1" sqref="B56:B81">
      <formula1>'Look Up'!A55:A59</formula1>
    </dataValidation>
  </dataValidations>
  <pageMargins left="0.7" right="0.7" top="0.75" bottom="0.75" header="0.3" footer="0.3"/>
  <pageSetup paperSize="8" scale="60" orientation="landscape"/>
  <headerFooter scaleWithDoc="1" alignWithMargins="0" differentFirst="0" differentOddEven="0"/>
  <extLst/>
</worksheet>
</file>

<file path=xl/worksheets/sheet1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5">
    <tabColor rgb="FFFF0000"/>
  </sheetPr>
  <dimension ref="A1:W64"/>
  <sheetViews>
    <sheetView zoomScale="85" view="normal" workbookViewId="0">
      <selection pane="topLeft" activeCell="A32" sqref="A32"/>
    </sheetView>
  </sheetViews>
  <sheetFormatPr defaultRowHeight="12.5"/>
  <cols>
    <col min="1" max="2" width="41.7109375" customWidth="1"/>
    <col min="3" max="3" width="20.140625" customWidth="1"/>
    <col min="4" max="4" width="13.5703125" customWidth="1"/>
    <col min="6" max="6" width="9.140625" customWidth="1"/>
    <col min="10" max="10" width="22.41796875" customWidth="1"/>
    <col min="11" max="12" width="11.5703125" customWidth="1"/>
    <col min="13" max="13" width="11.5703125" hidden="1" customWidth="1"/>
    <col min="14" max="14" width="12.7109375" bestFit="1" customWidth="1"/>
    <col min="15" max="15" width="11.27734375" customWidth="1"/>
    <col min="16" max="19" width="9.140625" hidden="1" customWidth="1"/>
    <col min="20" max="23" width="9.140625" customWidth="1"/>
  </cols>
  <sheetData>
    <row r="1" spans="1:4" ht="15.5">
      <c r="A1" s="21" t="s">
        <v>36</v>
      </c>
      <c r="B1" s="21"/>
      <c r="C1" s="21"/>
      <c r="D1" s="21"/>
    </row>
    <row r="3" spans="1:14" ht="42" customHeight="1">
      <c r="A3" s="430" t="s">
        <v>29</v>
      </c>
      <c r="B3" s="430" t="s">
        <v>2151</v>
      </c>
      <c r="C3" s="430" t="s">
        <v>2150</v>
      </c>
      <c r="D3" s="430" t="s">
        <v>2059</v>
      </c>
      <c r="E3" s="430" t="s">
        <v>1981</v>
      </c>
      <c r="F3" s="430" t="s">
        <v>1982</v>
      </c>
      <c r="G3" s="430" t="s">
        <v>9</v>
      </c>
      <c r="H3" s="430" t="s">
        <v>30</v>
      </c>
      <c r="I3" s="430" t="s">
        <v>8</v>
      </c>
      <c r="J3" s="10" t="s">
        <v>2</v>
      </c>
      <c r="K3" s="9" t="s">
        <v>5</v>
      </c>
      <c r="L3" s="9" t="s">
        <v>1852</v>
      </c>
      <c r="M3" s="430" t="s">
        <v>2251</v>
      </c>
      <c r="N3" s="430" t="s">
        <v>2281</v>
      </c>
    </row>
    <row r="4" spans="1:17" ht="13">
      <c r="A4" s="325"/>
      <c r="B4" s="325"/>
      <c r="C4" s="325"/>
      <c r="D4" s="8"/>
      <c r="E4" s="326"/>
      <c r="F4" s="326"/>
      <c r="G4" s="326"/>
      <c r="H4" s="326"/>
      <c r="I4" s="326"/>
      <c r="J4" s="532">
        <f>(E4*'Study Information &amp; rates'!$B$101)+('Additional Study Activities'!F4*'Study Information &amp; rates'!$C$101)+('Additional Study Activities'!G4*'Study Information &amp; rates'!$D$101)+('Additional Study Activities'!H4*'Study Information &amp; rates'!$E$101)+('Additional Study Activities'!I4*'Study Information &amp; rates'!$F$101)</f>
        <v>0</v>
      </c>
      <c r="K4" s="440">
        <f>IF('Study Information &amp; rates'!$B$44="Yes",J4*0.287,0)</f>
        <v>0</v>
      </c>
      <c r="L4" s="440">
        <f>IF('Study Information &amp; rates'!$B$44="No",0,J4*0.05)</f>
        <v>0</v>
      </c>
      <c r="M4" s="539">
        <f>J4+K4+L4</f>
        <v>0</v>
      </c>
      <c r="N4" s="539">
        <f>'Set-up and other costs'!$B$18*'Additional Study Activities'!M4</f>
        <v>0</v>
      </c>
      <c r="Q4" t="str">
        <f>'Look Up'!$A$13&amp;'Additional Study Activities'!D4</f>
        <v>Additional Staff Costs</v>
      </c>
    </row>
    <row r="5" spans="1:17" ht="13">
      <c r="A5" s="325"/>
      <c r="B5" s="325"/>
      <c r="C5" s="325"/>
      <c r="D5" s="8"/>
      <c r="E5" s="326"/>
      <c r="F5" s="326"/>
      <c r="G5" s="326"/>
      <c r="H5" s="326"/>
      <c r="I5" s="326"/>
      <c r="J5" s="532">
        <f>(E5*'Study Information &amp; rates'!$B$101)+('Additional Study Activities'!F5*'Study Information &amp; rates'!$C$101)+('Additional Study Activities'!G5*'Study Information &amp; rates'!$D$101)+('Additional Study Activities'!H5*'Study Information &amp; rates'!$E$101)+('Additional Study Activities'!I5*'Study Information &amp; rates'!$F$101)</f>
        <v>0</v>
      </c>
      <c r="K5" s="440">
        <f>IF('Study Information &amp; rates'!$B$44="Yes",J5*0.287,0)</f>
        <v>0</v>
      </c>
      <c r="L5" s="440">
        <f>IF('Study Information &amp; rates'!$B$44="No",0,J5*0.05)</f>
        <v>0</v>
      </c>
      <c r="M5" s="539">
        <f>J5+K5+L5</f>
        <v>0</v>
      </c>
      <c r="N5" s="539">
        <f>'Set-up and other costs'!$B$18*'Additional Study Activities'!M5</f>
        <v>0</v>
      </c>
      <c r="Q5" t="str">
        <f>'Look Up'!$A$13&amp;'Additional Study Activities'!D5</f>
        <v>Additional Staff Costs</v>
      </c>
    </row>
    <row r="6" spans="1:17" customFormat="1" ht="13">
      <c r="A6" s="325"/>
      <c r="B6" s="325"/>
      <c r="C6" s="325"/>
      <c r="D6" s="8"/>
      <c r="E6" s="326"/>
      <c r="F6" s="326"/>
      <c r="G6" s="326"/>
      <c r="H6" s="326"/>
      <c r="I6" s="326"/>
      <c r="J6" s="532">
        <f>(E6*'Study Information &amp; rates'!$B$101)+('Additional Study Activities'!F6*'Study Information &amp; rates'!$C$101)+('Additional Study Activities'!G6*'Study Information &amp; rates'!$D$101)+('Additional Study Activities'!H6*'Study Information &amp; rates'!$E$101)+('Additional Study Activities'!I6*'Study Information &amp; rates'!$F$101)</f>
        <v>0</v>
      </c>
      <c r="K6" s="440">
        <f>IF('Study Information &amp; rates'!$B$44="Yes",J6*0.287,0)</f>
        <v>0</v>
      </c>
      <c r="L6" s="440">
        <f>IF('Study Information &amp; rates'!$B$44="No",0,J6*0.05)</f>
        <v>0</v>
      </c>
      <c r="M6" s="539">
        <f>J6+K6+L6</f>
        <v>0</v>
      </c>
      <c r="N6" s="539">
        <f>'Set-up and other costs'!$B$18*'Additional Study Activities'!M6</f>
        <v>0</v>
      </c>
      <c r="Q6" t="str">
        <f>'Look Up'!$A$13&amp;'Additional Study Activities'!D6</f>
        <v>Additional Staff Costs</v>
      </c>
    </row>
    <row r="7" spans="1:17" customFormat="1" ht="13">
      <c r="A7" s="325"/>
      <c r="B7" s="325"/>
      <c r="C7" s="325"/>
      <c r="D7" s="8"/>
      <c r="E7" s="326"/>
      <c r="F7" s="326"/>
      <c r="G7" s="326"/>
      <c r="H7" s="326"/>
      <c r="I7" s="326"/>
      <c r="J7" s="532">
        <f>(E7*'Study Information &amp; rates'!$B$101)+('Additional Study Activities'!F7*'Study Information &amp; rates'!$C$101)+('Additional Study Activities'!G7*'Study Information &amp; rates'!$D$101)+('Additional Study Activities'!H7*'Study Information &amp; rates'!$E$101)+('Additional Study Activities'!I7*'Study Information &amp; rates'!$F$101)</f>
        <v>0</v>
      </c>
      <c r="K7" s="440">
        <f>IF('Study Information &amp; rates'!$B$44="Yes",J7*0.287,0)</f>
        <v>0</v>
      </c>
      <c r="L7" s="440">
        <f>IF('Study Information &amp; rates'!$B$44="No",0,J7*0.05)</f>
        <v>0</v>
      </c>
      <c r="M7" s="539">
        <f>J7+K7+L7</f>
        <v>0</v>
      </c>
      <c r="N7" s="539">
        <f>'Set-up and other costs'!$B$18*'Additional Study Activities'!M7</f>
        <v>0</v>
      </c>
      <c r="Q7" t="str">
        <f>'Look Up'!$A$13&amp;'Additional Study Activities'!D7</f>
        <v>Additional Staff Costs</v>
      </c>
    </row>
    <row r="8" spans="1:17" customFormat="1" ht="13">
      <c r="A8" s="325"/>
      <c r="B8" s="325"/>
      <c r="C8" s="325"/>
      <c r="D8" s="8"/>
      <c r="E8" s="326"/>
      <c r="F8" s="326"/>
      <c r="G8" s="326"/>
      <c r="H8" s="326"/>
      <c r="I8" s="326"/>
      <c r="J8" s="532">
        <f>(E8*'Study Information &amp; rates'!$B$101)+('Additional Study Activities'!F8*'Study Information &amp; rates'!$C$101)+('Additional Study Activities'!G8*'Study Information &amp; rates'!$D$101)+('Additional Study Activities'!H8*'Study Information &amp; rates'!$E$101)+('Additional Study Activities'!I8*'Study Information &amp; rates'!$F$101)</f>
        <v>0</v>
      </c>
      <c r="K8" s="440">
        <f>IF('Study Information &amp; rates'!$B$44="Yes",J8*0.287,0)</f>
        <v>0</v>
      </c>
      <c r="L8" s="440">
        <f>IF('Study Information &amp; rates'!$B$44="No",0,J8*0.05)</f>
        <v>0</v>
      </c>
      <c r="M8" s="539">
        <f>J8+K8+L8</f>
        <v>0</v>
      </c>
      <c r="N8" s="539">
        <f>'Set-up and other costs'!$B$18*'Additional Study Activities'!M8</f>
        <v>0</v>
      </c>
      <c r="Q8" t="str">
        <f>'Look Up'!$A$13&amp;'Additional Study Activities'!D8</f>
        <v>Additional Staff Costs</v>
      </c>
    </row>
    <row r="9" spans="1:17" customFormat="1" ht="13">
      <c r="A9" s="325"/>
      <c r="B9" s="325"/>
      <c r="C9" s="325"/>
      <c r="D9" s="8"/>
      <c r="E9" s="326"/>
      <c r="F9" s="326"/>
      <c r="G9" s="326"/>
      <c r="H9" s="326"/>
      <c r="I9" s="326"/>
      <c r="J9" s="532">
        <f>(E9*'Study Information &amp; rates'!$B$101)+('Additional Study Activities'!F9*'Study Information &amp; rates'!$C$101)+('Additional Study Activities'!G9*'Study Information &amp; rates'!$D$101)+('Additional Study Activities'!H9*'Study Information &amp; rates'!$E$101)+('Additional Study Activities'!I9*'Study Information &amp; rates'!$F$101)</f>
        <v>0</v>
      </c>
      <c r="K9" s="440">
        <f>IF('Study Information &amp; rates'!$B$44="Yes",J9*0.287,0)</f>
        <v>0</v>
      </c>
      <c r="L9" s="440">
        <f>IF('Study Information &amp; rates'!$B$44="No",0,J9*0.05)</f>
        <v>0</v>
      </c>
      <c r="M9" s="539">
        <f>J9+K9+L9</f>
        <v>0</v>
      </c>
      <c r="N9" s="539">
        <f>'Set-up and other costs'!$B$18*'Additional Study Activities'!M9</f>
        <v>0</v>
      </c>
      <c r="Q9" t="str">
        <f>'Look Up'!$A$13&amp;'Additional Study Activities'!D9</f>
        <v>Additional Staff Costs</v>
      </c>
    </row>
    <row r="10" spans="1:17" customFormat="1" ht="13">
      <c r="A10" s="325"/>
      <c r="B10" s="325"/>
      <c r="C10" s="325"/>
      <c r="D10" s="8"/>
      <c r="E10" s="326"/>
      <c r="F10" s="326"/>
      <c r="G10" s="326"/>
      <c r="H10" s="326"/>
      <c r="I10" s="326"/>
      <c r="J10" s="532">
        <f>(E10*'Study Information &amp; rates'!$B$101)+('Additional Study Activities'!F10*'Study Information &amp; rates'!$C$101)+('Additional Study Activities'!G10*'Study Information &amp; rates'!$D$101)+('Additional Study Activities'!H10*'Study Information &amp; rates'!$E$101)+('Additional Study Activities'!I10*'Study Information &amp; rates'!$F$101)</f>
        <v>0</v>
      </c>
      <c r="K10" s="440">
        <f>IF('Study Information &amp; rates'!$B$44="Yes",J10*0.287,0)</f>
        <v>0</v>
      </c>
      <c r="L10" s="440">
        <f>IF('Study Information &amp; rates'!$B$44="No",0,J10*0.05)</f>
        <v>0</v>
      </c>
      <c r="M10" s="539">
        <f>J10+K10+L10</f>
        <v>0</v>
      </c>
      <c r="N10" s="539">
        <f>'Set-up and other costs'!$B$18*'Additional Study Activities'!M10</f>
        <v>0</v>
      </c>
      <c r="Q10" t="str">
        <f>'Look Up'!$A$13&amp;'Additional Study Activities'!D10</f>
        <v>Additional Staff Costs</v>
      </c>
    </row>
    <row r="11" spans="1:17" customFormat="1" ht="13">
      <c r="A11" s="325"/>
      <c r="B11" s="325"/>
      <c r="C11" s="325"/>
      <c r="D11" s="8"/>
      <c r="E11" s="326"/>
      <c r="F11" s="326"/>
      <c r="G11" s="326"/>
      <c r="H11" s="326"/>
      <c r="I11" s="326"/>
      <c r="J11" s="532">
        <f>(E11*'Study Information &amp; rates'!$B$101)+('Additional Study Activities'!F11*'Study Information &amp; rates'!$C$101)+('Additional Study Activities'!G11*'Study Information &amp; rates'!$D$101)+('Additional Study Activities'!H11*'Study Information &amp; rates'!$E$101)+('Additional Study Activities'!I11*'Study Information &amp; rates'!$F$101)</f>
        <v>0</v>
      </c>
      <c r="K11" s="440">
        <f>IF('Study Information &amp; rates'!$B$44="Yes",J11*0.287,0)</f>
        <v>0</v>
      </c>
      <c r="L11" s="440">
        <f>IF('Study Information &amp; rates'!$B$44="No",0,J11*0.05)</f>
        <v>0</v>
      </c>
      <c r="M11" s="539">
        <f>J11+K11+L11</f>
        <v>0</v>
      </c>
      <c r="N11" s="539">
        <f>'Set-up and other costs'!$B$18*'Additional Study Activities'!M11</f>
        <v>0</v>
      </c>
      <c r="Q11" t="str">
        <f>'Look Up'!$A$13&amp;'Additional Study Activities'!D11</f>
        <v>Additional Staff Costs</v>
      </c>
    </row>
    <row r="12" spans="1:17" customFormat="1" ht="13">
      <c r="A12" s="325"/>
      <c r="B12" s="325"/>
      <c r="C12" s="325"/>
      <c r="D12" s="8"/>
      <c r="E12" s="326"/>
      <c r="F12" s="326"/>
      <c r="G12" s="326"/>
      <c r="H12" s="326"/>
      <c r="I12" s="326"/>
      <c r="J12" s="532">
        <f>(E12*'Study Information &amp; rates'!$B$101)+('Additional Study Activities'!F12*'Study Information &amp; rates'!$C$101)+('Additional Study Activities'!G12*'Study Information &amp; rates'!$D$101)+('Additional Study Activities'!H12*'Study Information &amp; rates'!$E$101)+('Additional Study Activities'!I12*'Study Information &amp; rates'!$F$101)</f>
        <v>0</v>
      </c>
      <c r="K12" s="440">
        <f>IF('Study Information &amp; rates'!$B$44="Yes",J12*0.287,0)</f>
        <v>0</v>
      </c>
      <c r="L12" s="440">
        <f>IF('Study Information &amp; rates'!$B$44="No",0,J12*0.05)</f>
        <v>0</v>
      </c>
      <c r="M12" s="539">
        <f>J12+K12+L12</f>
        <v>0</v>
      </c>
      <c r="N12" s="539">
        <f>'Set-up and other costs'!$B$18*'Additional Study Activities'!M12</f>
        <v>0</v>
      </c>
      <c r="Q12" t="str">
        <f>'Look Up'!$A$13&amp;'Additional Study Activities'!D12</f>
        <v>Additional Staff Costs</v>
      </c>
    </row>
    <row r="13" spans="1:17" customFormat="1" ht="13">
      <c r="A13" s="325"/>
      <c r="B13" s="325"/>
      <c r="C13" s="325"/>
      <c r="D13" s="8"/>
      <c r="E13" s="326"/>
      <c r="F13" s="326"/>
      <c r="G13" s="326"/>
      <c r="H13" s="326"/>
      <c r="I13" s="326"/>
      <c r="J13" s="532">
        <f>(E13*'Study Information &amp; rates'!$B$101)+('Additional Study Activities'!F13*'Study Information &amp; rates'!$C$101)+('Additional Study Activities'!G13*'Study Information &amp; rates'!$D$101)+('Additional Study Activities'!H13*'Study Information &amp; rates'!$E$101)+('Additional Study Activities'!I13*'Study Information &amp; rates'!$F$101)</f>
        <v>0</v>
      </c>
      <c r="K13" s="440">
        <f>IF('Study Information &amp; rates'!$B$44="Yes",J13*0.287,0)</f>
        <v>0</v>
      </c>
      <c r="L13" s="440">
        <f>IF('Study Information &amp; rates'!$B$44="No",0,J13*0.05)</f>
        <v>0</v>
      </c>
      <c r="M13" s="539">
        <f>J13+K13+L13</f>
        <v>0</v>
      </c>
      <c r="N13" s="539">
        <f>'Set-up and other costs'!$B$18*'Additional Study Activities'!M13</f>
        <v>0</v>
      </c>
      <c r="Q13" t="str">
        <f>'Look Up'!$A$13&amp;'Additional Study Activities'!D13</f>
        <v>Additional Staff Costs</v>
      </c>
    </row>
    <row r="14" spans="1:17" customFormat="1" ht="13">
      <c r="A14" s="325"/>
      <c r="B14" s="325"/>
      <c r="C14" s="325"/>
      <c r="D14" s="8"/>
      <c r="E14" s="326"/>
      <c r="F14" s="326"/>
      <c r="G14" s="326"/>
      <c r="H14" s="326"/>
      <c r="I14" s="326"/>
      <c r="J14" s="532">
        <f>(E14*'Study Information &amp; rates'!$B$101)+('Additional Study Activities'!F14*'Study Information &amp; rates'!$C$101)+('Additional Study Activities'!G14*'Study Information &amp; rates'!$D$101)+('Additional Study Activities'!H14*'Study Information &amp; rates'!$E$101)+('Additional Study Activities'!I14*'Study Information &amp; rates'!$F$101)</f>
        <v>0</v>
      </c>
      <c r="K14" s="440">
        <f>IF('Study Information &amp; rates'!$B$44="Yes",J14*0.287,0)</f>
        <v>0</v>
      </c>
      <c r="L14" s="440">
        <f>IF('Study Information &amp; rates'!$B$44="No",0,J14*0.05)</f>
        <v>0</v>
      </c>
      <c r="M14" s="539">
        <f>J14+K14+L14</f>
        <v>0</v>
      </c>
      <c r="N14" s="539">
        <f>'Set-up and other costs'!$B$18*'Additional Study Activities'!M14</f>
        <v>0</v>
      </c>
      <c r="Q14" t="str">
        <f>'Look Up'!$A$13&amp;'Additional Study Activities'!D14</f>
        <v>Additional Staff Costs</v>
      </c>
    </row>
    <row r="15" spans="1:17" customFormat="1" ht="13">
      <c r="A15" s="325"/>
      <c r="B15" s="325"/>
      <c r="C15" s="325"/>
      <c r="D15" s="8"/>
      <c r="E15" s="326"/>
      <c r="F15" s="326"/>
      <c r="G15" s="326"/>
      <c r="H15" s="326"/>
      <c r="I15" s="326"/>
      <c r="J15" s="532">
        <f>(E15*'Study Information &amp; rates'!$B$101)+('Additional Study Activities'!F15*'Study Information &amp; rates'!$C$101)+('Additional Study Activities'!G15*'Study Information &amp; rates'!$D$101)+('Additional Study Activities'!H15*'Study Information &amp; rates'!$E$101)+('Additional Study Activities'!I15*'Study Information &amp; rates'!$F$101)</f>
        <v>0</v>
      </c>
      <c r="K15" s="440">
        <f>IF('Study Information &amp; rates'!$B$44="Yes",J15*0.287,0)</f>
        <v>0</v>
      </c>
      <c r="L15" s="440">
        <f>IF('Study Information &amp; rates'!$B$44="No",0,J15*0.05)</f>
        <v>0</v>
      </c>
      <c r="M15" s="539">
        <f>J15+K15+L15</f>
        <v>0</v>
      </c>
      <c r="N15" s="539">
        <f>'Set-up and other costs'!$B$18*'Additional Study Activities'!M15</f>
        <v>0</v>
      </c>
      <c r="Q15" t="str">
        <f>'Look Up'!$A$13&amp;'Additional Study Activities'!D15</f>
        <v>Additional Staff Costs</v>
      </c>
    </row>
    <row r="16" spans="1:17" customFormat="1" ht="13">
      <c r="A16" s="325"/>
      <c r="B16" s="325"/>
      <c r="C16" s="325"/>
      <c r="D16" s="8"/>
      <c r="E16" s="326"/>
      <c r="F16" s="326"/>
      <c r="G16" s="326"/>
      <c r="H16" s="326"/>
      <c r="I16" s="326"/>
      <c r="J16" s="532">
        <f>(E16*'Study Information &amp; rates'!$B$101)+('Additional Study Activities'!F16*'Study Information &amp; rates'!$C$101)+('Additional Study Activities'!G16*'Study Information &amp; rates'!$D$101)+('Additional Study Activities'!H16*'Study Information &amp; rates'!$E$101)+('Additional Study Activities'!I16*'Study Information &amp; rates'!$F$101)</f>
        <v>0</v>
      </c>
      <c r="K16" s="440">
        <f>IF('Study Information &amp; rates'!$B$44="Yes",J16*0.287,0)</f>
        <v>0</v>
      </c>
      <c r="L16" s="440">
        <f>IF('Study Information &amp; rates'!$B$44="No",0,J16*0.05)</f>
        <v>0</v>
      </c>
      <c r="M16" s="539">
        <f>J16+K16+L16</f>
        <v>0</v>
      </c>
      <c r="N16" s="539">
        <f>'Set-up and other costs'!$B$18*'Additional Study Activities'!M16</f>
        <v>0</v>
      </c>
      <c r="Q16" t="str">
        <f>'Look Up'!$A$13&amp;'Additional Study Activities'!D16</f>
        <v>Additional Staff Costs</v>
      </c>
    </row>
    <row r="17" spans="1:17" customFormat="1" ht="13">
      <c r="A17" s="325"/>
      <c r="B17" s="325"/>
      <c r="C17" s="325"/>
      <c r="D17" s="8"/>
      <c r="E17" s="326"/>
      <c r="F17" s="326"/>
      <c r="G17" s="326"/>
      <c r="H17" s="326"/>
      <c r="I17" s="326"/>
      <c r="J17" s="532">
        <f>(E17*'Study Information &amp; rates'!$B$101)+('Additional Study Activities'!F17*'Study Information &amp; rates'!$C$101)+('Additional Study Activities'!G17*'Study Information &amp; rates'!$D$101)+('Additional Study Activities'!H17*'Study Information &amp; rates'!$E$101)+('Additional Study Activities'!I17*'Study Information &amp; rates'!$F$101)</f>
        <v>0</v>
      </c>
      <c r="K17" s="440">
        <f>IF('Study Information &amp; rates'!$B$44="Yes",J17*0.287,0)</f>
        <v>0</v>
      </c>
      <c r="L17" s="440">
        <f>IF('Study Information &amp; rates'!$B$44="No",0,J17*0.05)</f>
        <v>0</v>
      </c>
      <c r="M17" s="539">
        <f>J17+K17+L17</f>
        <v>0</v>
      </c>
      <c r="N17" s="539">
        <f>'Set-up and other costs'!$B$18*'Additional Study Activities'!M17</f>
        <v>0</v>
      </c>
      <c r="Q17" t="str">
        <f>'Look Up'!$A$13&amp;'Additional Study Activities'!D17</f>
        <v>Additional Staff Costs</v>
      </c>
    </row>
    <row r="18" spans="1:17" customFormat="1" ht="13">
      <c r="A18" s="326"/>
      <c r="B18" s="326"/>
      <c r="C18" s="325"/>
      <c r="D18" s="8"/>
      <c r="E18" s="326"/>
      <c r="F18" s="326"/>
      <c r="G18" s="326"/>
      <c r="H18" s="326"/>
      <c r="I18" s="326"/>
      <c r="J18" s="532">
        <f>(E18*'Study Information &amp; rates'!$B$101)+('Additional Study Activities'!F18*'Study Information &amp; rates'!$C$101)+('Additional Study Activities'!G18*'Study Information &amp; rates'!$D$101)+('Additional Study Activities'!H18*'Study Information &amp; rates'!$E$101)+('Additional Study Activities'!I18*'Study Information &amp; rates'!$F$101)</f>
        <v>0</v>
      </c>
      <c r="K18" s="440">
        <f>IF('Study Information &amp; rates'!$B$44="Yes",J18*0.287,0)</f>
        <v>0</v>
      </c>
      <c r="L18" s="440">
        <f>IF('Study Information &amp; rates'!$B$44="No",0,J18*0.05)</f>
        <v>0</v>
      </c>
      <c r="M18" s="539">
        <f>J18+K18+L18</f>
        <v>0</v>
      </c>
      <c r="N18" s="539">
        <f>'Set-up and other costs'!$B$18*'Additional Study Activities'!M18</f>
        <v>0</v>
      </c>
      <c r="Q18" t="str">
        <f>'Look Up'!$A$13&amp;'Additional Study Activities'!D18</f>
        <v>Additional Staff Costs</v>
      </c>
    </row>
    <row r="19" spans="1:17" customFormat="1" ht="13">
      <c r="A19" s="326"/>
      <c r="B19" s="326"/>
      <c r="C19" s="325"/>
      <c r="D19" s="8"/>
      <c r="E19" s="326"/>
      <c r="F19" s="326"/>
      <c r="G19" s="326"/>
      <c r="H19" s="326"/>
      <c r="I19" s="326"/>
      <c r="J19" s="532">
        <f>(E19*'Study Information &amp; rates'!$B$101)+('Additional Study Activities'!F19*'Study Information &amp; rates'!$C$101)+('Additional Study Activities'!G19*'Study Information &amp; rates'!$D$101)+('Additional Study Activities'!H19*'Study Information &amp; rates'!$E$101)+('Additional Study Activities'!I19*'Study Information &amp; rates'!$F$101)</f>
        <v>0</v>
      </c>
      <c r="K19" s="440">
        <f>IF('Study Information &amp; rates'!$B$44="Yes",J19*0.287,0)</f>
        <v>0</v>
      </c>
      <c r="L19" s="440">
        <f>IF('Study Information &amp; rates'!$B$44="No",0,J19*0.05)</f>
        <v>0</v>
      </c>
      <c r="M19" s="539">
        <f>J19+K19+L19</f>
        <v>0</v>
      </c>
      <c r="N19" s="539">
        <f>'Set-up and other costs'!$B$18*'Additional Study Activities'!M19</f>
        <v>0</v>
      </c>
      <c r="Q19" t="str">
        <f>'Look Up'!$A$13&amp;'Additional Study Activities'!D19</f>
        <v>Additional Staff Costs</v>
      </c>
    </row>
    <row r="20" spans="1:17" customFormat="1" ht="13">
      <c r="A20" s="326"/>
      <c r="B20" s="326"/>
      <c r="C20" s="325"/>
      <c r="D20" s="8"/>
      <c r="E20" s="326"/>
      <c r="F20" s="326"/>
      <c r="G20" s="326"/>
      <c r="H20" s="326"/>
      <c r="I20" s="326"/>
      <c r="J20" s="532">
        <f>(E20*'Study Information &amp; rates'!$B$101)+('Additional Study Activities'!F20*'Study Information &amp; rates'!$C$101)+('Additional Study Activities'!G20*'Study Information &amp; rates'!$D$101)+('Additional Study Activities'!H20*'Study Information &amp; rates'!$E$101)+('Additional Study Activities'!I20*'Study Information &amp; rates'!$F$101)</f>
        <v>0</v>
      </c>
      <c r="K20" s="440">
        <f>IF('Study Information &amp; rates'!$B$44="Yes",J20*0.287,0)</f>
        <v>0</v>
      </c>
      <c r="L20" s="440">
        <f>IF('Study Information &amp; rates'!$B$44="No",0,J20*0.05)</f>
        <v>0</v>
      </c>
      <c r="M20" s="539">
        <f>J20+K20+L20</f>
        <v>0</v>
      </c>
      <c r="N20" s="539">
        <f>'Set-up and other costs'!$B$18*'Additional Study Activities'!M20</f>
        <v>0</v>
      </c>
      <c r="Q20" t="str">
        <f>'Look Up'!$A$13&amp;'Additional Study Activities'!D20</f>
        <v>Additional Staff Costs</v>
      </c>
    </row>
    <row r="21" spans="1:17" ht="13">
      <c r="A21" s="326"/>
      <c r="B21" s="326"/>
      <c r="C21" s="325"/>
      <c r="D21" s="8"/>
      <c r="E21" s="326"/>
      <c r="F21" s="326"/>
      <c r="G21" s="326"/>
      <c r="H21" s="326"/>
      <c r="I21" s="326"/>
      <c r="J21" s="532">
        <f>(E21*'Study Information &amp; rates'!$B$101)+('Additional Study Activities'!F21*'Study Information &amp; rates'!$C$101)+('Additional Study Activities'!G21*'Study Information &amp; rates'!$D$101)+('Additional Study Activities'!H21*'Study Information &amp; rates'!$E$101)+('Additional Study Activities'!I21*'Study Information &amp; rates'!$F$101)</f>
        <v>0</v>
      </c>
      <c r="K21" s="440">
        <f>IF('Study Information &amp; rates'!$B$44="Yes",J21*0.287,0)</f>
        <v>0</v>
      </c>
      <c r="L21" s="440">
        <f>IF('Study Information &amp; rates'!$B$44="No",0,J21*0.05)</f>
        <v>0</v>
      </c>
      <c r="M21" s="539">
        <f>J21+K21+L21</f>
        <v>0</v>
      </c>
      <c r="N21" s="539">
        <f>'Set-up and other costs'!$B$18*'Additional Study Activities'!M21</f>
        <v>0</v>
      </c>
      <c r="Q21" t="str">
        <f>'Look Up'!$A$13&amp;'Additional Study Activities'!D21</f>
        <v>Additional Staff Costs</v>
      </c>
    </row>
    <row r="22" spans="1:17" ht="13">
      <c r="A22" s="326"/>
      <c r="B22" s="326"/>
      <c r="C22" s="325"/>
      <c r="D22" s="8"/>
      <c r="E22" s="326"/>
      <c r="F22" s="326"/>
      <c r="G22" s="326"/>
      <c r="H22" s="326"/>
      <c r="I22" s="326"/>
      <c r="J22" s="532">
        <f>(E22*'Study Information &amp; rates'!$B$101)+('Additional Study Activities'!F22*'Study Information &amp; rates'!$C$101)+('Additional Study Activities'!G22*'Study Information &amp; rates'!$D$101)+('Additional Study Activities'!H22*'Study Information &amp; rates'!$E$101)+('Additional Study Activities'!I22*'Study Information &amp; rates'!$F$101)</f>
        <v>0</v>
      </c>
      <c r="K22" s="440">
        <f>IF('Study Information &amp; rates'!$B$44="Yes",J22*0.287,0)</f>
        <v>0</v>
      </c>
      <c r="L22" s="440">
        <f>IF('Study Information &amp; rates'!$B$44="No",0,J22*0.05)</f>
        <v>0</v>
      </c>
      <c r="M22" s="539">
        <f>J22+K22+L22</f>
        <v>0</v>
      </c>
      <c r="N22" s="539">
        <f>'Set-up and other costs'!$B$18*'Additional Study Activities'!M22</f>
        <v>0</v>
      </c>
      <c r="Q22" t="str">
        <f>'Look Up'!$A$13&amp;'Additional Study Activities'!D22</f>
        <v>Additional Staff Costs</v>
      </c>
    </row>
    <row r="23" spans="1:17" ht="13">
      <c r="A23" s="326"/>
      <c r="B23" s="326"/>
      <c r="C23" s="325"/>
      <c r="D23" s="8"/>
      <c r="E23" s="326"/>
      <c r="F23" s="326"/>
      <c r="G23" s="326"/>
      <c r="H23" s="326"/>
      <c r="I23" s="326"/>
      <c r="J23" s="532">
        <f>(E23*'Study Information &amp; rates'!$B$101)+('Additional Study Activities'!F23*'Study Information &amp; rates'!$C$101)+('Additional Study Activities'!G23*'Study Information &amp; rates'!$D$101)+('Additional Study Activities'!H23*'Study Information &amp; rates'!$E$101)+('Additional Study Activities'!I23*'Study Information &amp; rates'!$F$101)</f>
        <v>0</v>
      </c>
      <c r="K23" s="440">
        <f>IF('Study Information &amp; rates'!$B$44="Yes",J23*0.287,0)</f>
        <v>0</v>
      </c>
      <c r="L23" s="440">
        <f>IF('Study Information &amp; rates'!$B$44="No",0,J23*0.05)</f>
        <v>0</v>
      </c>
      <c r="M23" s="539">
        <f>J23+K23+L23</f>
        <v>0</v>
      </c>
      <c r="N23" s="539">
        <f>'Set-up and other costs'!$B$18*'Additional Study Activities'!M23</f>
        <v>0</v>
      </c>
      <c r="Q23" t="str">
        <f>'Look Up'!$A$13&amp;'Additional Study Activities'!D23</f>
        <v>Additional Staff Costs</v>
      </c>
    </row>
    <row r="24" spans="1:17" ht="13">
      <c r="A24" s="326"/>
      <c r="B24" s="326"/>
      <c r="C24" s="325"/>
      <c r="D24" s="8"/>
      <c r="E24" s="326"/>
      <c r="F24" s="326"/>
      <c r="G24" s="326"/>
      <c r="H24" s="326"/>
      <c r="I24" s="326"/>
      <c r="J24" s="532">
        <f>(E24*'Study Information &amp; rates'!$B$101)+('Additional Study Activities'!F24*'Study Information &amp; rates'!$C$101)+('Additional Study Activities'!G24*'Study Information &amp; rates'!$D$101)+('Additional Study Activities'!H24*'Study Information &amp; rates'!$E$101)+('Additional Study Activities'!I24*'Study Information &amp; rates'!$F$101)</f>
        <v>0</v>
      </c>
      <c r="K24" s="440">
        <f>IF('Study Information &amp; rates'!$B$44="Yes",J24*0.287,0)</f>
        <v>0</v>
      </c>
      <c r="L24" s="440">
        <f>IF('Study Information &amp; rates'!$B$44="No",0,J24*0.05)</f>
        <v>0</v>
      </c>
      <c r="M24" s="539">
        <f>J24+K24+L24</f>
        <v>0</v>
      </c>
      <c r="N24" s="539">
        <f>'Set-up and other costs'!$B$18*'Additional Study Activities'!M24</f>
        <v>0</v>
      </c>
      <c r="Q24" t="str">
        <f>'Look Up'!$A$13&amp;'Additional Study Activities'!D24</f>
        <v>Additional Staff Costs</v>
      </c>
    </row>
    <row r="25" spans="1:17" ht="13">
      <c r="A25" s="326"/>
      <c r="B25" s="326"/>
      <c r="C25" s="325"/>
      <c r="D25" s="8"/>
      <c r="E25" s="326"/>
      <c r="F25" s="326"/>
      <c r="G25" s="326"/>
      <c r="H25" s="326"/>
      <c r="I25" s="326"/>
      <c r="J25" s="532">
        <f>(E25*'Study Information &amp; rates'!$B$101)+('Additional Study Activities'!F25*'Study Information &amp; rates'!$C$101)+('Additional Study Activities'!G25*'Study Information &amp; rates'!$D$101)+('Additional Study Activities'!H25*'Study Information &amp; rates'!$E$101)+('Additional Study Activities'!I25*'Study Information &amp; rates'!$F$101)</f>
        <v>0</v>
      </c>
      <c r="K25" s="440">
        <f>IF('Study Information &amp; rates'!$B$44="Yes",J25*0.287,0)</f>
        <v>0</v>
      </c>
      <c r="L25" s="440">
        <f>IF('Study Information &amp; rates'!$B$44="No",0,J25*0.05)</f>
        <v>0</v>
      </c>
      <c r="M25" s="539">
        <f>J25+K25+L25</f>
        <v>0</v>
      </c>
      <c r="N25" s="539">
        <f>'Set-up and other costs'!$B$18*'Additional Study Activities'!M25</f>
        <v>0</v>
      </c>
      <c r="Q25" t="str">
        <f>'Look Up'!$A$13&amp;'Additional Study Activities'!D25</f>
        <v>Additional Staff Costs</v>
      </c>
    </row>
    <row r="26" spans="1:17" ht="13">
      <c r="A26" s="326"/>
      <c r="B26" s="326"/>
      <c r="C26" s="325"/>
      <c r="D26" s="8"/>
      <c r="E26" s="326"/>
      <c r="F26" s="326"/>
      <c r="G26" s="326"/>
      <c r="H26" s="326"/>
      <c r="I26" s="326"/>
      <c r="J26" s="532">
        <f>(E26*'Study Information &amp; rates'!$B$101)+('Additional Study Activities'!F26*'Study Information &amp; rates'!$C$101)+('Additional Study Activities'!G26*'Study Information &amp; rates'!$D$101)+('Additional Study Activities'!H26*'Study Information &amp; rates'!$E$101)+('Additional Study Activities'!I26*'Study Information &amp; rates'!$F$101)</f>
        <v>0</v>
      </c>
      <c r="K26" s="440">
        <f>IF('Study Information &amp; rates'!$B$44="Yes",J26*0.287,0)</f>
        <v>0</v>
      </c>
      <c r="L26" s="440">
        <f>IF('Study Information &amp; rates'!$B$44="No",0,J26*0.05)</f>
        <v>0</v>
      </c>
      <c r="M26" s="539">
        <f>J26+K26+L26</f>
        <v>0</v>
      </c>
      <c r="N26" s="539">
        <f>'Set-up and other costs'!$B$18*'Additional Study Activities'!M26</f>
        <v>0</v>
      </c>
      <c r="Q26" t="str">
        <f>'Look Up'!$A$13&amp;'Additional Study Activities'!D26</f>
        <v>Additional Staff Costs</v>
      </c>
    </row>
    <row r="27" spans="10:17" s="5" customFormat="1" ht="13">
      <c r="J27" s="540"/>
      <c r="K27" s="540"/>
      <c r="L27" s="540"/>
      <c r="M27" s="541">
        <f>SUM(M4:M26)</f>
        <v>0</v>
      </c>
      <c r="N27" s="539">
        <f>'Set-up and other costs'!$B$18*'Additional Study Activities'!M27</f>
        <v>0</v>
      </c>
      <c r="Q27"/>
    </row>
    <row r="28" spans="17:17" s="5" customFormat="1" ht="13">
      <c r="Q28"/>
    </row>
    <row r="29" spans="1:17" s="5" customFormat="1" ht="15.5">
      <c r="A29" s="21" t="s">
        <v>31</v>
      </c>
      <c r="B29" s="21"/>
      <c r="C29" s="21"/>
      <c r="D29" s="21"/>
      <c r="Q29"/>
    </row>
    <row r="30" spans="17:23" s="5" customFormat="1" ht="13">
      <c r="Q30"/>
      <c r="W30" s="479"/>
    </row>
    <row r="31" spans="1:17" ht="52">
      <c r="A31" s="430" t="s">
        <v>24</v>
      </c>
      <c r="B31" s="430" t="s">
        <v>2151</v>
      </c>
      <c r="C31" s="430" t="s">
        <v>2150</v>
      </c>
      <c r="D31" s="430" t="s">
        <v>2059</v>
      </c>
      <c r="E31" s="562"/>
      <c r="F31" s="562"/>
      <c r="G31" s="562"/>
      <c r="H31" s="562"/>
      <c r="I31" s="562"/>
      <c r="J31" s="430" t="s">
        <v>25</v>
      </c>
      <c r="K31" s="430" t="s">
        <v>27</v>
      </c>
      <c r="L31" s="430" t="s">
        <v>28</v>
      </c>
      <c r="M31" s="439" t="s">
        <v>2251</v>
      </c>
      <c r="N31" s="430" t="s">
        <v>2281</v>
      </c>
      <c r="Q31"/>
    </row>
    <row r="32" spans="1:17" ht="13">
      <c r="A32" s="278"/>
      <c r="B32" s="278"/>
      <c r="C32" s="325"/>
      <c r="D32" s="8"/>
      <c r="E32" s="288"/>
      <c r="F32" s="288"/>
      <c r="G32" s="288"/>
      <c r="H32" s="288"/>
      <c r="I32" s="288"/>
      <c r="J32" s="324"/>
      <c r="K32" s="3"/>
      <c r="L32" s="3"/>
      <c r="M32" s="542">
        <f>L32*K32*J32</f>
        <v>0</v>
      </c>
      <c r="N32" s="539">
        <f>'Set-up and other costs'!$B$18*'Additional Study Activities'!M32</f>
        <v>0</v>
      </c>
      <c r="Q32" t="str">
        <f>'Look Up'!$A$12&amp;'Additional Study Activities'!D32</f>
        <v>Additional Costs</v>
      </c>
    </row>
    <row r="33" spans="1:17" ht="13">
      <c r="A33" s="278"/>
      <c r="B33" s="278"/>
      <c r="C33" s="325"/>
      <c r="D33" s="8"/>
      <c r="E33" s="288"/>
      <c r="F33" s="288"/>
      <c r="G33" s="288"/>
      <c r="H33" s="288"/>
      <c r="I33" s="288"/>
      <c r="J33" s="324"/>
      <c r="K33" s="3"/>
      <c r="L33" s="3"/>
      <c r="M33" s="542">
        <f>L33*K33*J33</f>
        <v>0</v>
      </c>
      <c r="N33" s="539">
        <f>'Set-up and other costs'!$B$18*'Additional Study Activities'!M33</f>
        <v>0</v>
      </c>
      <c r="Q33" t="str">
        <f>'Look Up'!$A$12&amp;'Additional Study Activities'!D33</f>
        <v>Additional Costs</v>
      </c>
    </row>
    <row r="34" spans="1:17" ht="13">
      <c r="A34" s="278"/>
      <c r="B34" s="278"/>
      <c r="C34" s="325"/>
      <c r="D34" s="8"/>
      <c r="E34" s="288"/>
      <c r="F34" s="288"/>
      <c r="G34" s="288"/>
      <c r="H34" s="288"/>
      <c r="I34" s="288"/>
      <c r="J34" s="324"/>
      <c r="K34" s="3"/>
      <c r="L34" s="3"/>
      <c r="M34" s="542">
        <f>L34*K34*J34</f>
        <v>0</v>
      </c>
      <c r="N34" s="539">
        <f>'Set-up and other costs'!$B$18*'Additional Study Activities'!M34</f>
        <v>0</v>
      </c>
      <c r="Q34" t="str">
        <f>'Look Up'!$A$12&amp;'Additional Study Activities'!D34</f>
        <v>Additional Costs</v>
      </c>
    </row>
    <row r="35" spans="1:17" ht="13">
      <c r="A35" s="278"/>
      <c r="B35" s="278"/>
      <c r="C35" s="325"/>
      <c r="D35" s="8"/>
      <c r="E35" s="288"/>
      <c r="F35" s="288"/>
      <c r="G35" s="288"/>
      <c r="H35" s="288"/>
      <c r="I35" s="288"/>
      <c r="J35" s="324"/>
      <c r="K35" s="3"/>
      <c r="L35" s="3"/>
      <c r="M35" s="542">
        <f>L35*K35*J35</f>
        <v>0</v>
      </c>
      <c r="N35" s="539">
        <f>'Set-up and other costs'!$B$18*'Additional Study Activities'!M35</f>
        <v>0</v>
      </c>
      <c r="Q35" t="str">
        <f>'Look Up'!$A$12&amp;'Additional Study Activities'!D35</f>
        <v>Additional Costs</v>
      </c>
    </row>
    <row r="36" spans="1:17" ht="13">
      <c r="A36" s="278"/>
      <c r="B36" s="278"/>
      <c r="C36" s="325"/>
      <c r="D36" s="8"/>
      <c r="E36" s="288"/>
      <c r="F36" s="288"/>
      <c r="G36" s="288"/>
      <c r="H36" s="288"/>
      <c r="I36" s="288"/>
      <c r="J36" s="324"/>
      <c r="K36" s="3"/>
      <c r="L36" s="3"/>
      <c r="M36" s="542">
        <f>L36*K36*J36</f>
        <v>0</v>
      </c>
      <c r="N36" s="539">
        <f>'Set-up and other costs'!$B$18*'Additional Study Activities'!M36</f>
        <v>0</v>
      </c>
      <c r="Q36" t="str">
        <f>'Look Up'!$A$12&amp;'Additional Study Activities'!D36</f>
        <v>Additional Costs</v>
      </c>
    </row>
    <row r="37" spans="1:17" ht="13">
      <c r="A37" s="278"/>
      <c r="B37" s="278"/>
      <c r="C37" s="325"/>
      <c r="D37" s="8"/>
      <c r="E37" s="288"/>
      <c r="F37" s="288"/>
      <c r="G37" s="288"/>
      <c r="H37" s="288"/>
      <c r="I37" s="288"/>
      <c r="J37" s="324"/>
      <c r="K37" s="3"/>
      <c r="L37" s="3"/>
      <c r="M37" s="542">
        <f>L37*K37*J37</f>
        <v>0</v>
      </c>
      <c r="N37" s="539">
        <f>'Set-up and other costs'!$B$18*'Additional Study Activities'!M37</f>
        <v>0</v>
      </c>
      <c r="Q37" t="str">
        <f>'Look Up'!$A$12&amp;'Additional Study Activities'!D37</f>
        <v>Additional Costs</v>
      </c>
    </row>
    <row r="38" spans="1:17" ht="13">
      <c r="A38" s="278"/>
      <c r="B38" s="278"/>
      <c r="C38" s="325"/>
      <c r="D38" s="8"/>
      <c r="E38" s="288"/>
      <c r="F38" s="288"/>
      <c r="G38" s="288"/>
      <c r="H38" s="288"/>
      <c r="I38" s="288"/>
      <c r="J38" s="324"/>
      <c r="K38" s="3"/>
      <c r="L38" s="3"/>
      <c r="M38" s="542">
        <f>L38*K38*J38</f>
        <v>0</v>
      </c>
      <c r="N38" s="539">
        <f>'Set-up and other costs'!$B$18*'Additional Study Activities'!M38</f>
        <v>0</v>
      </c>
      <c r="Q38" t="str">
        <f>'Look Up'!$A$12&amp;'Additional Study Activities'!D38</f>
        <v>Additional Costs</v>
      </c>
    </row>
    <row r="39" spans="1:17" ht="13">
      <c r="A39" s="278"/>
      <c r="B39" s="278"/>
      <c r="C39" s="325"/>
      <c r="D39" s="8"/>
      <c r="E39" s="288"/>
      <c r="F39" s="288"/>
      <c r="G39" s="288"/>
      <c r="H39" s="288"/>
      <c r="I39" s="288"/>
      <c r="J39" s="324"/>
      <c r="K39" s="3"/>
      <c r="L39" s="3"/>
      <c r="M39" s="542">
        <f>L39*K39*J39</f>
        <v>0</v>
      </c>
      <c r="N39" s="539">
        <f>'Set-up and other costs'!$B$18*'Additional Study Activities'!M39</f>
        <v>0</v>
      </c>
      <c r="Q39" t="str">
        <f>'Look Up'!$A$12&amp;'Additional Study Activities'!D39</f>
        <v>Additional Costs</v>
      </c>
    </row>
    <row r="40" spans="1:17" ht="13">
      <c r="A40" s="278"/>
      <c r="B40" s="278"/>
      <c r="C40" s="325"/>
      <c r="D40" s="8"/>
      <c r="E40" s="288"/>
      <c r="F40" s="288"/>
      <c r="G40" s="288"/>
      <c r="H40" s="288"/>
      <c r="I40" s="288"/>
      <c r="J40" s="324"/>
      <c r="K40" s="3"/>
      <c r="L40" s="3"/>
      <c r="M40" s="542">
        <f>L40*K40*J40</f>
        <v>0</v>
      </c>
      <c r="N40" s="539">
        <f>'Set-up and other costs'!$B$18*'Additional Study Activities'!M40</f>
        <v>0</v>
      </c>
      <c r="Q40" t="str">
        <f>'Look Up'!$A$12&amp;'Additional Study Activities'!D40</f>
        <v>Additional Costs</v>
      </c>
    </row>
    <row r="41" spans="1:17" ht="13">
      <c r="A41" s="278"/>
      <c r="B41" s="278"/>
      <c r="C41" s="325"/>
      <c r="D41" s="8"/>
      <c r="E41" s="288"/>
      <c r="F41" s="288"/>
      <c r="G41" s="288"/>
      <c r="H41" s="288"/>
      <c r="I41" s="288"/>
      <c r="J41" s="324"/>
      <c r="K41" s="3"/>
      <c r="L41" s="3"/>
      <c r="M41" s="542">
        <f>L41*K41*J41</f>
        <v>0</v>
      </c>
      <c r="N41" s="539">
        <f>'Set-up and other costs'!$B$18*'Additional Study Activities'!M41</f>
        <v>0</v>
      </c>
      <c r="Q41" t="str">
        <f>'Look Up'!$A$12&amp;'Additional Study Activities'!D41</f>
        <v>Additional Costs</v>
      </c>
    </row>
    <row r="42" spans="1:17" ht="13">
      <c r="A42" s="278"/>
      <c r="B42" s="278"/>
      <c r="C42" s="325"/>
      <c r="D42" s="8"/>
      <c r="E42" s="288"/>
      <c r="F42" s="288"/>
      <c r="G42" s="288"/>
      <c r="H42" s="288"/>
      <c r="I42" s="288"/>
      <c r="J42" s="324"/>
      <c r="K42" s="3"/>
      <c r="L42" s="3"/>
      <c r="M42" s="542">
        <f>L42*K42*J42</f>
        <v>0</v>
      </c>
      <c r="N42" s="539">
        <f>'Set-up and other costs'!$B$18*'Additional Study Activities'!M42</f>
        <v>0</v>
      </c>
      <c r="Q42" t="str">
        <f>'Look Up'!$A$12&amp;'Additional Study Activities'!D42</f>
        <v>Additional Costs</v>
      </c>
    </row>
    <row r="43" spans="1:17" ht="13">
      <c r="A43" s="278"/>
      <c r="B43" s="278"/>
      <c r="C43" s="325"/>
      <c r="D43" s="8"/>
      <c r="E43" s="288"/>
      <c r="F43" s="288"/>
      <c r="G43" s="288"/>
      <c r="H43" s="288"/>
      <c r="I43" s="288"/>
      <c r="J43" s="324"/>
      <c r="K43" s="3"/>
      <c r="L43" s="3"/>
      <c r="M43" s="542">
        <f>L43*K43*J43</f>
        <v>0</v>
      </c>
      <c r="N43" s="539">
        <f>'Set-up and other costs'!$B$18*'Additional Study Activities'!M43</f>
        <v>0</v>
      </c>
      <c r="Q43" t="str">
        <f>'Look Up'!$A$12&amp;'Additional Study Activities'!D43</f>
        <v>Additional Costs</v>
      </c>
    </row>
    <row r="44" spans="1:17" ht="13">
      <c r="A44" s="278"/>
      <c r="B44" s="278"/>
      <c r="C44" s="325"/>
      <c r="D44" s="8"/>
      <c r="E44" s="288"/>
      <c r="F44" s="288"/>
      <c r="G44" s="288"/>
      <c r="H44" s="288"/>
      <c r="I44" s="288"/>
      <c r="J44" s="324"/>
      <c r="K44" s="3"/>
      <c r="L44" s="3"/>
      <c r="M44" s="542">
        <f>L44*K44*J44</f>
        <v>0</v>
      </c>
      <c r="N44" s="539">
        <f>'Set-up and other costs'!$B$18*'Additional Study Activities'!M44</f>
        <v>0</v>
      </c>
      <c r="Q44" t="str">
        <f>'Look Up'!$A$12&amp;'Additional Study Activities'!D44</f>
        <v>Additional Costs</v>
      </c>
    </row>
    <row r="45" spans="1:17" ht="13">
      <c r="A45" s="278"/>
      <c r="B45" s="278"/>
      <c r="C45" s="325"/>
      <c r="D45" s="8"/>
      <c r="E45" s="288"/>
      <c r="F45" s="288"/>
      <c r="G45" s="288"/>
      <c r="H45" s="288"/>
      <c r="I45" s="288"/>
      <c r="J45" s="324"/>
      <c r="K45" s="3"/>
      <c r="L45" s="3"/>
      <c r="M45" s="542">
        <f>L45*K45*J45</f>
        <v>0</v>
      </c>
      <c r="N45" s="539">
        <f>'Set-up and other costs'!$B$18*'Additional Study Activities'!M45</f>
        <v>0</v>
      </c>
      <c r="Q45" t="str">
        <f>'Look Up'!$A$12&amp;'Additional Study Activities'!D45</f>
        <v>Additional Costs</v>
      </c>
    </row>
    <row r="46" spans="1:17" ht="13">
      <c r="A46" s="23" t="s">
        <v>34</v>
      </c>
      <c r="B46" s="23"/>
      <c r="C46" s="23"/>
      <c r="D46" s="23"/>
      <c r="E46" s="289"/>
      <c r="F46" s="289"/>
      <c r="G46" s="289"/>
      <c r="H46" s="289"/>
      <c r="I46" s="289"/>
      <c r="J46" s="5"/>
      <c r="K46" s="5"/>
      <c r="L46" s="5"/>
      <c r="M46" s="543">
        <f>SUM(M32:M45)</f>
        <v>0</v>
      </c>
      <c r="N46" s="539">
        <f>'Set-up and other costs'!$B$18*'Additional Study Activities'!M46</f>
        <v>0</v>
      </c>
      <c r="Q46" t="str">
        <f>'Look Up'!$A$12&amp;'Additional Study Activities'!D46</f>
        <v>Additional Costs</v>
      </c>
    </row>
    <row r="47" spans="1:17" ht="13">
      <c r="A47" s="5"/>
      <c r="B47" s="5"/>
      <c r="C47" s="5"/>
      <c r="D47" s="5"/>
      <c r="E47" s="5"/>
      <c r="F47" s="5"/>
      <c r="G47" s="5"/>
      <c r="H47" s="5"/>
      <c r="M47" s="390"/>
      <c r="N47" s="390"/>
      <c r="Q47" t="str">
        <f>'Look Up'!$A$12&amp;'Additional Study Activities'!D47</f>
        <v>Additional Costs</v>
      </c>
    </row>
    <row r="48" spans="1:17" ht="15.5">
      <c r="A48" s="21" t="s">
        <v>1905</v>
      </c>
      <c r="B48" s="21"/>
      <c r="C48" s="21"/>
      <c r="D48" s="21"/>
      <c r="E48"/>
      <c r="F48" s="5"/>
      <c r="G48" s="5"/>
      <c r="H48" s="5"/>
      <c r="M48" s="390"/>
      <c r="N48" s="390"/>
      <c r="Q48" t="str">
        <f>'Look Up'!$A$12&amp;'Additional Study Activities'!D48</f>
        <v>Additional Costs</v>
      </c>
    </row>
    <row r="49" spans="1:17" ht="52">
      <c r="A49" s="9" t="s">
        <v>24</v>
      </c>
      <c r="B49" s="9" t="s">
        <v>2151</v>
      </c>
      <c r="C49" s="9" t="s">
        <v>2150</v>
      </c>
      <c r="D49" s="9" t="s">
        <v>2059</v>
      </c>
      <c r="E49" s="287"/>
      <c r="F49" s="287"/>
      <c r="G49" s="287"/>
      <c r="H49" s="287"/>
      <c r="I49" s="287"/>
      <c r="J49" s="9" t="s">
        <v>25</v>
      </c>
      <c r="K49" s="9" t="s">
        <v>27</v>
      </c>
      <c r="L49" s="9" t="s">
        <v>28</v>
      </c>
      <c r="M49" s="439" t="s">
        <v>2251</v>
      </c>
      <c r="N49" s="430" t="s">
        <v>2281</v>
      </c>
      <c r="O49" s="5"/>
      <c r="P49" s="5"/>
      <c r="Q49"/>
    </row>
    <row r="50" spans="1:17" ht="13">
      <c r="A50" s="278"/>
      <c r="B50" s="278"/>
      <c r="C50" s="325"/>
      <c r="D50" s="8"/>
      <c r="E50" s="288"/>
      <c r="F50" s="288"/>
      <c r="G50" s="288"/>
      <c r="H50" s="288"/>
      <c r="I50" s="288"/>
      <c r="J50" s="324"/>
      <c r="K50" s="3"/>
      <c r="L50" s="3"/>
      <c r="M50" s="542">
        <f>L50*K50*J50</f>
        <v>0</v>
      </c>
      <c r="N50" s="539">
        <f>'Set-up and other costs'!$B$18*'Additional Study Activities'!M50</f>
        <v>0</v>
      </c>
      <c r="O50" s="5"/>
      <c r="P50" s="5"/>
      <c r="Q50" t="str">
        <f>'Look Up'!$A$14&amp;'Additional Study Activities'!D50</f>
        <v>Adhoc costs</v>
      </c>
    </row>
    <row r="51" spans="1:17" ht="13">
      <c r="A51" s="278"/>
      <c r="B51" s="278"/>
      <c r="C51" s="325"/>
      <c r="D51" s="8"/>
      <c r="E51" s="288"/>
      <c r="F51" s="288"/>
      <c r="G51" s="288"/>
      <c r="H51" s="288"/>
      <c r="I51" s="288"/>
      <c r="J51" s="324"/>
      <c r="K51" s="3"/>
      <c r="L51" s="3"/>
      <c r="M51" s="542">
        <f>L51*K51*J51</f>
        <v>0</v>
      </c>
      <c r="N51" s="539">
        <f>'Set-up and other costs'!$B$18*'Additional Study Activities'!M51</f>
        <v>0</v>
      </c>
      <c r="O51" s="5"/>
      <c r="P51" s="5"/>
      <c r="Q51" t="str">
        <f>'Look Up'!$A$14&amp;'Additional Study Activities'!D51</f>
        <v>Adhoc costs</v>
      </c>
    </row>
    <row r="52" spans="1:17" ht="13">
      <c r="A52" s="278"/>
      <c r="B52" s="278"/>
      <c r="C52" s="325"/>
      <c r="D52" s="8"/>
      <c r="E52" s="288"/>
      <c r="F52" s="288"/>
      <c r="G52" s="288"/>
      <c r="H52" s="288"/>
      <c r="I52" s="288"/>
      <c r="J52" s="324"/>
      <c r="K52" s="3"/>
      <c r="L52" s="3"/>
      <c r="M52" s="542">
        <f>L52*K52*J52</f>
        <v>0</v>
      </c>
      <c r="N52" s="539">
        <f>'Set-up and other costs'!$B$18*'Additional Study Activities'!M52</f>
        <v>0</v>
      </c>
      <c r="O52" s="5"/>
      <c r="P52" s="5"/>
      <c r="Q52" t="str">
        <f>'Look Up'!$A$14&amp;'Additional Study Activities'!D52</f>
        <v>Adhoc costs</v>
      </c>
    </row>
    <row r="53" spans="1:17" ht="13">
      <c r="A53" s="278"/>
      <c r="B53" s="278"/>
      <c r="C53" s="325"/>
      <c r="D53" s="8"/>
      <c r="E53" s="288"/>
      <c r="F53" s="288"/>
      <c r="G53" s="288"/>
      <c r="H53" s="288"/>
      <c r="I53" s="288"/>
      <c r="J53" s="324"/>
      <c r="K53" s="3"/>
      <c r="L53" s="3"/>
      <c r="M53" s="542">
        <f>L53*K53*J53</f>
        <v>0</v>
      </c>
      <c r="N53" s="539">
        <f>'Set-up and other costs'!$B$18*'Additional Study Activities'!M53</f>
        <v>0</v>
      </c>
      <c r="O53" s="5"/>
      <c r="P53" s="5"/>
      <c r="Q53" t="str">
        <f>'Look Up'!$A$14&amp;'Additional Study Activities'!D53</f>
        <v>Adhoc costs</v>
      </c>
    </row>
    <row r="54" spans="1:17" ht="13">
      <c r="A54" s="278"/>
      <c r="B54" s="278"/>
      <c r="C54" s="325"/>
      <c r="D54" s="8"/>
      <c r="E54" s="288"/>
      <c r="F54" s="288"/>
      <c r="G54" s="288"/>
      <c r="H54" s="288"/>
      <c r="I54" s="288"/>
      <c r="J54" s="324"/>
      <c r="K54" s="3"/>
      <c r="L54" s="3"/>
      <c r="M54" s="542">
        <f>L54*K54*J54</f>
        <v>0</v>
      </c>
      <c r="N54" s="539">
        <f>'Set-up and other costs'!$B$18*'Additional Study Activities'!M54</f>
        <v>0</v>
      </c>
      <c r="O54" s="5"/>
      <c r="P54" s="5"/>
      <c r="Q54" t="str">
        <f>'Look Up'!$A$14&amp;'Additional Study Activities'!D54</f>
        <v>Adhoc costs</v>
      </c>
    </row>
    <row r="55" spans="1:17" ht="13">
      <c r="A55" s="278"/>
      <c r="B55" s="278"/>
      <c r="C55" s="325"/>
      <c r="D55" s="8"/>
      <c r="E55" s="288"/>
      <c r="F55" s="288"/>
      <c r="G55" s="288"/>
      <c r="H55" s="288"/>
      <c r="I55" s="288"/>
      <c r="J55" s="324"/>
      <c r="K55" s="3"/>
      <c r="L55" s="3"/>
      <c r="M55" s="542">
        <f>L55*K55*J55</f>
        <v>0</v>
      </c>
      <c r="N55" s="539">
        <f>'Set-up and other costs'!$B$18*'Additional Study Activities'!M55</f>
        <v>0</v>
      </c>
      <c r="O55" s="5"/>
      <c r="P55" s="5"/>
      <c r="Q55" t="str">
        <f>'Look Up'!$A$14&amp;'Additional Study Activities'!D55</f>
        <v>Adhoc costs</v>
      </c>
    </row>
    <row r="56" spans="1:17" ht="13">
      <c r="A56" s="278"/>
      <c r="B56" s="278"/>
      <c r="C56" s="325"/>
      <c r="D56" s="8"/>
      <c r="E56" s="288"/>
      <c r="F56" s="288"/>
      <c r="G56" s="288"/>
      <c r="H56" s="288"/>
      <c r="I56" s="288"/>
      <c r="J56" s="324"/>
      <c r="K56" s="3"/>
      <c r="L56" s="3"/>
      <c r="M56" s="542">
        <f>L56*K56*J56</f>
        <v>0</v>
      </c>
      <c r="N56" s="539">
        <f>'Set-up and other costs'!$B$18*'Additional Study Activities'!M56</f>
        <v>0</v>
      </c>
      <c r="O56" s="5"/>
      <c r="P56" s="5"/>
      <c r="Q56" t="str">
        <f>'Look Up'!$A$14&amp;'Additional Study Activities'!D56</f>
        <v>Adhoc costs</v>
      </c>
    </row>
    <row r="57" spans="1:17" ht="13">
      <c r="A57" s="278"/>
      <c r="B57" s="278"/>
      <c r="C57" s="325"/>
      <c r="D57" s="8"/>
      <c r="E57" s="288"/>
      <c r="F57" s="288"/>
      <c r="G57" s="288"/>
      <c r="H57" s="288"/>
      <c r="I57" s="288"/>
      <c r="J57" s="324"/>
      <c r="K57" s="3"/>
      <c r="L57" s="3"/>
      <c r="M57" s="542">
        <f>L57*K57*J57</f>
        <v>0</v>
      </c>
      <c r="N57" s="539">
        <f>'Set-up and other costs'!$B$18*'Additional Study Activities'!M57</f>
        <v>0</v>
      </c>
      <c r="O57" s="5"/>
      <c r="P57" s="5"/>
      <c r="Q57" t="str">
        <f>'Look Up'!$A$14&amp;'Additional Study Activities'!D57</f>
        <v>Adhoc costs</v>
      </c>
    </row>
    <row r="58" spans="1:17" ht="13">
      <c r="A58" s="278"/>
      <c r="B58" s="278"/>
      <c r="C58" s="325"/>
      <c r="D58" s="8"/>
      <c r="E58" s="288"/>
      <c r="F58" s="288"/>
      <c r="G58" s="288"/>
      <c r="H58" s="288"/>
      <c r="I58" s="288"/>
      <c r="J58" s="324"/>
      <c r="K58" s="3"/>
      <c r="L58" s="3"/>
      <c r="M58" s="542">
        <f>L58*K58*J58</f>
        <v>0</v>
      </c>
      <c r="N58" s="539">
        <f>'Set-up and other costs'!$B$18*'Additional Study Activities'!M58</f>
        <v>0</v>
      </c>
      <c r="O58" s="5"/>
      <c r="P58" s="5"/>
      <c r="Q58" t="str">
        <f>'Look Up'!$A$14&amp;'Additional Study Activities'!D58</f>
        <v>Adhoc costs</v>
      </c>
    </row>
    <row r="59" spans="1:17" ht="13">
      <c r="A59" s="278"/>
      <c r="B59" s="278"/>
      <c r="C59" s="325"/>
      <c r="D59" s="8"/>
      <c r="E59" s="288"/>
      <c r="F59" s="288"/>
      <c r="G59" s="288"/>
      <c r="H59" s="288"/>
      <c r="I59" s="288"/>
      <c r="J59" s="324"/>
      <c r="K59" s="3"/>
      <c r="L59" s="3"/>
      <c r="M59" s="542">
        <f>L59*K59*J59</f>
        <v>0</v>
      </c>
      <c r="N59" s="539">
        <f>'Set-up and other costs'!$B$18*'Additional Study Activities'!M59</f>
        <v>0</v>
      </c>
      <c r="O59" s="5"/>
      <c r="P59" s="5"/>
      <c r="Q59" t="str">
        <f>'Look Up'!$A$14&amp;'Additional Study Activities'!D59</f>
        <v>Adhoc costs</v>
      </c>
    </row>
    <row r="60" spans="1:17" ht="13">
      <c r="A60" s="278"/>
      <c r="B60" s="278"/>
      <c r="C60" s="325"/>
      <c r="D60" s="8"/>
      <c r="E60" s="288"/>
      <c r="F60" s="288"/>
      <c r="G60" s="288"/>
      <c r="H60" s="288"/>
      <c r="I60" s="288"/>
      <c r="J60" s="324"/>
      <c r="K60" s="3"/>
      <c r="L60" s="3"/>
      <c r="M60" s="542">
        <f>L60*K60*J60</f>
        <v>0</v>
      </c>
      <c r="N60" s="539">
        <f>'Set-up and other costs'!$B$18*'Additional Study Activities'!M60</f>
        <v>0</v>
      </c>
      <c r="O60" s="5"/>
      <c r="P60" s="5"/>
      <c r="Q60" t="str">
        <f>'Look Up'!$A$14&amp;'Additional Study Activities'!D60</f>
        <v>Adhoc costs</v>
      </c>
    </row>
    <row r="61" spans="1:17" ht="13">
      <c r="A61" s="278"/>
      <c r="B61" s="278"/>
      <c r="C61" s="325"/>
      <c r="D61" s="8"/>
      <c r="E61" s="288"/>
      <c r="F61" s="288"/>
      <c r="G61" s="288"/>
      <c r="H61" s="288"/>
      <c r="I61" s="288"/>
      <c r="J61" s="324"/>
      <c r="K61" s="3"/>
      <c r="L61" s="3"/>
      <c r="M61" s="542">
        <f>L61*K61*J61</f>
        <v>0</v>
      </c>
      <c r="N61" s="539">
        <f>'Set-up and other costs'!$B$18*'Additional Study Activities'!M61</f>
        <v>0</v>
      </c>
      <c r="O61" s="5"/>
      <c r="P61" s="5"/>
      <c r="Q61" t="str">
        <f>'Look Up'!$A$14&amp;'Additional Study Activities'!D61</f>
        <v>Adhoc costs</v>
      </c>
    </row>
    <row r="62" spans="1:17" ht="13">
      <c r="A62" s="278"/>
      <c r="B62" s="278"/>
      <c r="C62" s="325"/>
      <c r="D62" s="8"/>
      <c r="E62" s="288"/>
      <c r="F62" s="288"/>
      <c r="G62" s="288"/>
      <c r="H62" s="288"/>
      <c r="I62" s="288"/>
      <c r="J62" s="324"/>
      <c r="K62" s="3"/>
      <c r="L62" s="3"/>
      <c r="M62" s="542">
        <f>L62*K62*J62</f>
        <v>0</v>
      </c>
      <c r="N62" s="539">
        <f>'Set-up and other costs'!$B$18*'Additional Study Activities'!M62</f>
        <v>0</v>
      </c>
      <c r="O62" s="5"/>
      <c r="P62" s="5"/>
      <c r="Q62" t="str">
        <f>'Look Up'!$A$14&amp;'Additional Study Activities'!D62</f>
        <v>Adhoc costs</v>
      </c>
    </row>
    <row r="63" spans="1:17" ht="13">
      <c r="A63" s="5"/>
      <c r="B63" s="5"/>
      <c r="C63" s="5"/>
      <c r="D63" s="5" t="s">
        <v>50</v>
      </c>
      <c r="E63" s="5"/>
      <c r="F63" s="5"/>
      <c r="G63" s="5"/>
      <c r="H63" s="5"/>
      <c r="I63" s="5"/>
      <c r="J63" s="5"/>
      <c r="K63" s="5"/>
      <c r="L63" s="5"/>
      <c r="M63" s="540"/>
      <c r="N63" s="544">
        <f>SUM(N50:N62)</f>
        <v>0</v>
      </c>
      <c r="O63" s="5"/>
      <c r="P63" s="5"/>
      <c r="Q63" s="5"/>
    </row>
    <row r="64" spans="1:8" ht="13">
      <c r="A64" s="5"/>
      <c r="B64" s="5"/>
      <c r="C64" s="5"/>
      <c r="D64" s="5"/>
      <c r="E64" s="5"/>
      <c r="F64" s="5"/>
      <c r="G64" s="5"/>
      <c r="H64" s="5"/>
    </row>
  </sheetData>
  <sheetProtection password="9541" sheet="1" objects="1" scenarios="1"/>
  <dataValidations count="6">
    <dataValidation type="list" allowBlank="1" showInputMessage="1" showErrorMessage="1" sqref="D50:D62 D32:D45 D4:D26">
      <formula1>AcCord</formula1>
    </dataValidation>
    <dataValidation type="list" allowBlank="1" showInputMessage="1" showErrorMessage="1" sqref="C4:C26 C32:C45 C50:C62">
      <formula1>Supportdepartments</formula1>
    </dataValidation>
    <dataValidation type="list" allowBlank="1" showInputMessage="1" showErrorMessage="1" sqref="D32:D45 D50:D62">
      <formula1>'Look Up'!A35:A39</formula1>
    </dataValidation>
    <dataValidation type="list" allowBlank="1" showInputMessage="1" showErrorMessage="1" sqref="E32:I45">
      <formula1>'Look Up'!A5:A7</formula1>
    </dataValidation>
    <dataValidation type="list" allowBlank="1" showInputMessage="1" showErrorMessage="1" sqref="E50:I62">
      <formula1>'Look Up'!A23:A27</formula1>
    </dataValidation>
    <dataValidation type="list" allowBlank="1" showInputMessage="1" showErrorMessage="1" sqref="D4:D26">
      <formula1>'Look Up'!A5:A9</formula1>
    </dataValidation>
  </dataValidations>
  <pageMargins left="0.7" right="0.7" top="0.75" bottom="0.75" header="0.3" footer="0.3"/>
  <pageSetup paperSize="9" orientation="portrait"/>
  <headerFooter scaleWithDoc="1" alignWithMargins="0" differentFirst="0" differentOddEven="0"/>
  <extLst/>
</worksheet>
</file>

<file path=xl/worksheets/sheet1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S64"/>
  <sheetViews>
    <sheetView topLeftCell="I1" zoomScale="60" view="normal" workbookViewId="0">
      <selection pane="topLeft" activeCell="S17" sqref="S17"/>
    </sheetView>
  </sheetViews>
  <sheetFormatPr defaultColWidth="9.1796875" defaultRowHeight="12.5"/>
  <cols>
    <col min="1" max="1" width="41.7109375" customWidth="1"/>
    <col min="2" max="2" width="13.5703125" customWidth="1"/>
    <col min="3" max="7" width="9.140625" customWidth="1"/>
    <col min="8" max="8" width="22.41796875" customWidth="1"/>
    <col min="9" max="10" width="11.5703125" customWidth="1"/>
    <col min="11" max="11" width="11.5703125" hidden="1" customWidth="1"/>
    <col min="12" max="12" width="11.5703125" customWidth="1"/>
    <col min="13" max="13" width="11.27734375" customWidth="1"/>
    <col min="14" max="16" width="9.140625" hidden="1" customWidth="1"/>
    <col min="17" max="17" width="9.140625" customWidth="1"/>
    <col min="18" max="18" width="16.84765625" customWidth="1"/>
    <col min="19" max="19" width="33.5703125" customWidth="1"/>
    <col min="20" max="16384" width="9.140625" customWidth="1"/>
  </cols>
  <sheetData>
    <row r="1" spans="1:2" ht="15.5">
      <c r="A1" s="21" t="s">
        <v>36</v>
      </c>
      <c r="B1" s="21"/>
    </row>
    <row r="3" spans="1:12" ht="42" customHeight="1">
      <c r="A3" s="9" t="s">
        <v>29</v>
      </c>
      <c r="B3" s="9" t="s">
        <v>2059</v>
      </c>
      <c r="C3" s="9" t="s">
        <v>1981</v>
      </c>
      <c r="D3" s="9" t="s">
        <v>1982</v>
      </c>
      <c r="E3" s="9" t="s">
        <v>9</v>
      </c>
      <c r="F3" s="9" t="s">
        <v>30</v>
      </c>
      <c r="G3" s="9" t="s">
        <v>8</v>
      </c>
      <c r="H3" s="10" t="s">
        <v>2</v>
      </c>
      <c r="I3" s="9" t="s">
        <v>5</v>
      </c>
      <c r="J3" s="9" t="s">
        <v>1852</v>
      </c>
      <c r="K3" s="430" t="s">
        <v>2251</v>
      </c>
      <c r="L3" s="430" t="s">
        <v>2252</v>
      </c>
    </row>
    <row r="4" spans="1:19" ht="13">
      <c r="A4" s="325"/>
      <c r="B4" s="8"/>
      <c r="C4" s="326"/>
      <c r="D4" s="326"/>
      <c r="E4" s="326"/>
      <c r="F4" s="326"/>
      <c r="G4" s="326"/>
      <c r="H4" s="1">
        <f>(C4*'Study Information &amp; rates'!$B$101)+(CRF!D4*'Study Information &amp; rates'!$C$101)+(CRF!E4*'Study Information &amp; rates'!$D$101)+(CRF!F4*'Study Information &amp; rates'!$E$101)+(CRF!G4*'Study Information &amp; rates'!$F$101)</f>
        <v>0</v>
      </c>
      <c r="I4" s="2">
        <f>IF('Study Information &amp; rates'!$B$44="Yes",H4*0.287,0)</f>
        <v>0</v>
      </c>
      <c r="J4" s="2">
        <f>IF((Reconciliation!$C$15)&gt;5000,H4*0.05,0)</f>
        <v>0</v>
      </c>
      <c r="K4" s="232">
        <f>H4+I4+J4</f>
        <v>0</v>
      </c>
      <c r="L4" s="232">
        <f>'Set-up and other costs'!$B$18*K4</f>
        <v>0</v>
      </c>
      <c r="O4" t="str">
        <f>'Look Up'!$A$19&amp;CRF!B4</f>
        <v>CRF</v>
      </c>
      <c r="R4" s="1010" t="s">
        <v>2474</v>
      </c>
      <c r="S4" s="1011"/>
    </row>
    <row r="5" spans="1:19" ht="13">
      <c r="A5" s="325"/>
      <c r="B5" s="8"/>
      <c r="C5" s="326"/>
      <c r="D5" s="326"/>
      <c r="E5" s="326"/>
      <c r="F5" s="326"/>
      <c r="G5" s="326"/>
      <c r="H5" s="1">
        <f>(C5*'Study Information &amp; rates'!$B$101)+(CRF!D5*'Study Information &amp; rates'!$C$101)+(CRF!E5*'Study Information &amp; rates'!$D$101)+(CRF!F5*'Study Information &amp; rates'!$E$101)+(CRF!G5*'Study Information &amp; rates'!$F$101)</f>
        <v>0</v>
      </c>
      <c r="I5" s="2">
        <f>IF('Study Information &amp; rates'!$B$44="Yes",H5*0.287,0)</f>
        <v>0</v>
      </c>
      <c r="J5" s="2">
        <f>IF((Reconciliation!$C$15)&gt;5000,H5*0.05,0)</f>
        <v>0</v>
      </c>
      <c r="K5" s="232">
        <f>H5+I5+J5</f>
        <v>0</v>
      </c>
      <c r="L5" s="232">
        <f>'Set-up and other costs'!$B$18*K5</f>
        <v>0</v>
      </c>
      <c r="O5" t="str">
        <f>'Look Up'!$A$19&amp;CRF!B5</f>
        <v>CRF</v>
      </c>
      <c r="R5" s="1010" t="s">
        <v>2475</v>
      </c>
      <c r="S5" s="1011"/>
    </row>
    <row r="6" spans="1:19" ht="13">
      <c r="A6" s="325"/>
      <c r="B6" s="8"/>
      <c r="C6" s="326"/>
      <c r="D6" s="326"/>
      <c r="E6" s="326"/>
      <c r="F6" s="326"/>
      <c r="G6" s="326"/>
      <c r="H6" s="1">
        <f>(C6*'Study Information &amp; rates'!$B$101)+(CRF!D6*'Study Information &amp; rates'!$C$101)+(CRF!E6*'Study Information &amp; rates'!$D$101)+(CRF!F6*'Study Information &amp; rates'!$E$101)+(CRF!G6*'Study Information &amp; rates'!$F$101)</f>
        <v>0</v>
      </c>
      <c r="I6" s="2">
        <f>IF('Study Information &amp; rates'!$B$44="Yes",H6*0.287,0)</f>
        <v>0</v>
      </c>
      <c r="J6" s="2">
        <f>IF((Reconciliation!$C$15)&gt;5000,H6*0.05,0)</f>
        <v>0</v>
      </c>
      <c r="K6" s="232">
        <f>H6+I6+J6</f>
        <v>0</v>
      </c>
      <c r="L6" s="232">
        <f>'Set-up and other costs'!$B$18*K6</f>
        <v>0</v>
      </c>
      <c r="O6" t="str">
        <f>'Look Up'!$A$19&amp;CRF!B6</f>
        <v>CRF</v>
      </c>
      <c r="R6" s="1010" t="s">
        <v>2000</v>
      </c>
      <c r="S6" s="1011"/>
    </row>
    <row r="7" spans="1:15" ht="13">
      <c r="A7" s="325"/>
      <c r="B7" s="8"/>
      <c r="C7" s="326"/>
      <c r="D7" s="326"/>
      <c r="E7" s="326"/>
      <c r="F7" s="326"/>
      <c r="G7" s="326"/>
      <c r="H7" s="1">
        <f>(C7*'Study Information &amp; rates'!$B$101)+(CRF!D7*'Study Information &amp; rates'!$C$101)+(CRF!E7*'Study Information &amp; rates'!$D$101)+(CRF!F7*'Study Information &amp; rates'!$E$101)+(CRF!G7*'Study Information &amp; rates'!$F$101)</f>
        <v>0</v>
      </c>
      <c r="I7" s="2">
        <f>IF('Study Information &amp; rates'!$B$44="Yes",H7*0.287,0)</f>
        <v>0</v>
      </c>
      <c r="J7" s="2">
        <f>IF((Reconciliation!$C$15)&gt;5000,H7*0.05,0)</f>
        <v>0</v>
      </c>
      <c r="K7" s="232">
        <f>H7+I7+J7</f>
        <v>0</v>
      </c>
      <c r="L7" s="232">
        <f>'Set-up and other costs'!$B$18*K7</f>
        <v>0</v>
      </c>
      <c r="O7" t="str">
        <f>'Look Up'!$A$19&amp;CRF!B7</f>
        <v>CRF</v>
      </c>
    </row>
    <row r="8" spans="1:15" ht="13">
      <c r="A8" s="325"/>
      <c r="B8" s="8"/>
      <c r="C8" s="326"/>
      <c r="D8" s="326"/>
      <c r="E8" s="326"/>
      <c r="F8" s="326"/>
      <c r="G8" s="326"/>
      <c r="H8" s="1">
        <f>(C8*'Study Information &amp; rates'!$B$101)+(CRF!D8*'Study Information &amp; rates'!$C$101)+(CRF!E8*'Study Information &amp; rates'!$D$101)+(CRF!F8*'Study Information &amp; rates'!$E$101)+(CRF!G8*'Study Information &amp; rates'!$F$101)</f>
        <v>0</v>
      </c>
      <c r="I8" s="2">
        <f>IF('Study Information &amp; rates'!$B$44="Yes",H8*0.287,0)</f>
        <v>0</v>
      </c>
      <c r="J8" s="2">
        <f>IF((Reconciliation!$C$15)&gt;5000,H8*0.05,0)</f>
        <v>0</v>
      </c>
      <c r="K8" s="232">
        <f>H8+I8+J8</f>
        <v>0</v>
      </c>
      <c r="L8" s="232">
        <f>'Set-up and other costs'!$B$18*K8</f>
        <v>0</v>
      </c>
      <c r="O8" t="str">
        <f>'Look Up'!$A$19&amp;CRF!B8</f>
        <v>CRF</v>
      </c>
    </row>
    <row r="9" spans="1:15" ht="13">
      <c r="A9" s="325"/>
      <c r="B9" s="8"/>
      <c r="C9" s="326"/>
      <c r="D9" s="326"/>
      <c r="E9" s="326"/>
      <c r="F9" s="326"/>
      <c r="G9" s="326"/>
      <c r="H9" s="1">
        <f>(C9*'Study Information &amp; rates'!$B$101)+(CRF!D9*'Study Information &amp; rates'!$C$101)+(CRF!E9*'Study Information &amp; rates'!$D$101)+(CRF!F9*'Study Information &amp; rates'!$E$101)+(CRF!G9*'Study Information &amp; rates'!$F$101)</f>
        <v>0</v>
      </c>
      <c r="I9" s="2">
        <f>IF('Study Information &amp; rates'!$B$44="Yes",H9*0.287,0)</f>
        <v>0</v>
      </c>
      <c r="J9" s="2">
        <f>IF((Reconciliation!$C$15)&gt;5000,H9*0.05,0)</f>
        <v>0</v>
      </c>
      <c r="K9" s="232">
        <f>H9+I9+J9</f>
        <v>0</v>
      </c>
      <c r="L9" s="232">
        <f>'Set-up and other costs'!$B$18*K9</f>
        <v>0</v>
      </c>
      <c r="O9" t="str">
        <f>'Look Up'!$A$19&amp;CRF!B9</f>
        <v>CRF</v>
      </c>
    </row>
    <row r="10" spans="1:15" ht="13">
      <c r="A10" s="325"/>
      <c r="B10" s="8"/>
      <c r="C10" s="326"/>
      <c r="D10" s="326"/>
      <c r="E10" s="326"/>
      <c r="F10" s="326"/>
      <c r="G10" s="326"/>
      <c r="H10" s="1">
        <f>(C10*'Study Information &amp; rates'!$B$101)+(CRF!D10*'Study Information &amp; rates'!$C$101)+(CRF!E10*'Study Information &amp; rates'!$D$101)+(CRF!F10*'Study Information &amp; rates'!$E$101)+(CRF!G10*'Study Information &amp; rates'!$F$101)</f>
        <v>0</v>
      </c>
      <c r="I10" s="2">
        <f>IF('Study Information &amp; rates'!$B$44="Yes",H10*0.287,0)</f>
        <v>0</v>
      </c>
      <c r="J10" s="2">
        <f>IF((Reconciliation!$C$15)&gt;5000,H10*0.05,0)</f>
        <v>0</v>
      </c>
      <c r="K10" s="232">
        <f>H10+I10+J10</f>
        <v>0</v>
      </c>
      <c r="L10" s="232">
        <f>'Set-up and other costs'!$B$18*K10</f>
        <v>0</v>
      </c>
      <c r="O10" t="str">
        <f>'Look Up'!$A$19&amp;CRF!B10</f>
        <v>CRF</v>
      </c>
    </row>
    <row r="11" spans="1:15" ht="13">
      <c r="A11" s="325"/>
      <c r="B11" s="8"/>
      <c r="C11" s="326"/>
      <c r="D11" s="326"/>
      <c r="E11" s="326"/>
      <c r="F11" s="326"/>
      <c r="G11" s="326"/>
      <c r="H11" s="1">
        <f>(C11*'Study Information &amp; rates'!$B$101)+(CRF!D11*'Study Information &amp; rates'!$C$101)+(CRF!E11*'Study Information &amp; rates'!$D$101)+(CRF!F11*'Study Information &amp; rates'!$E$101)+(CRF!G11*'Study Information &amp; rates'!$F$101)</f>
        <v>0</v>
      </c>
      <c r="I11" s="2">
        <f>IF('Study Information &amp; rates'!$B$44="Yes",H11*0.287,0)</f>
        <v>0</v>
      </c>
      <c r="J11" s="2">
        <f>IF((Reconciliation!$C$15)&gt;5000,H11*0.05,0)</f>
        <v>0</v>
      </c>
      <c r="K11" s="232">
        <f>H11+I11+J11</f>
        <v>0</v>
      </c>
      <c r="L11" s="232">
        <f>'Set-up and other costs'!$B$18*K11</f>
        <v>0</v>
      </c>
      <c r="O11" t="str">
        <f>'Look Up'!$A$19&amp;CRF!B11</f>
        <v>CRF</v>
      </c>
    </row>
    <row r="12" spans="1:15" ht="13">
      <c r="A12" s="325"/>
      <c r="B12" s="8"/>
      <c r="C12" s="326"/>
      <c r="D12" s="326"/>
      <c r="E12" s="326"/>
      <c r="F12" s="326"/>
      <c r="G12" s="326"/>
      <c r="H12" s="1">
        <f>(C12*'Study Information &amp; rates'!$B$101)+(CRF!D12*'Study Information &amp; rates'!$C$101)+(CRF!E12*'Study Information &amp; rates'!$D$101)+(CRF!F12*'Study Information &amp; rates'!$E$101)+(CRF!G12*'Study Information &amp; rates'!$F$101)</f>
        <v>0</v>
      </c>
      <c r="I12" s="2">
        <f>IF('Study Information &amp; rates'!$B$44="Yes",H12*0.287,0)</f>
        <v>0</v>
      </c>
      <c r="J12" s="2">
        <f>IF((Reconciliation!$C$15)&gt;5000,H12*0.05,0)</f>
        <v>0</v>
      </c>
      <c r="K12" s="232">
        <f>H12+I12+J12</f>
        <v>0</v>
      </c>
      <c r="L12" s="232">
        <f>'Set-up and other costs'!$B$18*K12</f>
        <v>0</v>
      </c>
      <c r="O12" t="str">
        <f>'Look Up'!$A$19&amp;CRF!B12</f>
        <v>CRF</v>
      </c>
    </row>
    <row r="13" spans="1:15" ht="13">
      <c r="A13" s="325"/>
      <c r="B13" s="8"/>
      <c r="C13" s="326"/>
      <c r="D13" s="326"/>
      <c r="E13" s="326"/>
      <c r="F13" s="326"/>
      <c r="G13" s="326"/>
      <c r="H13" s="1">
        <f>(C13*'Study Information &amp; rates'!$B$101)+(CRF!D13*'Study Information &amp; rates'!$C$101)+(CRF!E13*'Study Information &amp; rates'!$D$101)+(CRF!F13*'Study Information &amp; rates'!$E$101)+(CRF!G13*'Study Information &amp; rates'!$F$101)</f>
        <v>0</v>
      </c>
      <c r="I13" s="2">
        <f>IF('Study Information &amp; rates'!$B$44="Yes",H13*0.287,0)</f>
        <v>0</v>
      </c>
      <c r="J13" s="2">
        <f>IF((Reconciliation!$C$15)&gt;5000,H13*0.05,0)</f>
        <v>0</v>
      </c>
      <c r="K13" s="232">
        <f>H13+I13+J13</f>
        <v>0</v>
      </c>
      <c r="L13" s="232">
        <f>'Set-up and other costs'!$B$18*K13</f>
        <v>0</v>
      </c>
      <c r="O13" t="str">
        <f>'Look Up'!$A$19&amp;CRF!B13</f>
        <v>CRF</v>
      </c>
    </row>
    <row r="14" spans="1:15" ht="13">
      <c r="A14" s="325"/>
      <c r="B14" s="8"/>
      <c r="C14" s="326"/>
      <c r="D14" s="326"/>
      <c r="E14" s="326"/>
      <c r="F14" s="326"/>
      <c r="G14" s="326"/>
      <c r="H14" s="1">
        <f>(C14*'Study Information &amp; rates'!$B$101)+(CRF!D14*'Study Information &amp; rates'!$C$101)+(CRF!E14*'Study Information &amp; rates'!$D$101)+(CRF!F14*'Study Information &amp; rates'!$E$101)+(CRF!G14*'Study Information &amp; rates'!$F$101)</f>
        <v>0</v>
      </c>
      <c r="I14" s="2">
        <f>IF('Study Information &amp; rates'!$B$44="Yes",H14*0.287,0)</f>
        <v>0</v>
      </c>
      <c r="J14" s="2">
        <f>IF((Reconciliation!$C$15)&gt;5000,H14*0.05,0)</f>
        <v>0</v>
      </c>
      <c r="K14" s="232">
        <f>H14+I14+J14</f>
        <v>0</v>
      </c>
      <c r="L14" s="232">
        <f>'Set-up and other costs'!$B$18*K14</f>
        <v>0</v>
      </c>
      <c r="O14" t="str">
        <f>'Look Up'!$A$19&amp;CRF!B14</f>
        <v>CRF</v>
      </c>
    </row>
    <row r="15" spans="1:15" ht="13">
      <c r="A15" s="325"/>
      <c r="B15" s="8"/>
      <c r="C15" s="326"/>
      <c r="D15" s="326"/>
      <c r="E15" s="326"/>
      <c r="F15" s="326"/>
      <c r="G15" s="326"/>
      <c r="H15" s="1">
        <f>(C15*'Study Information &amp; rates'!$B$101)+(CRF!D15*'Study Information &amp; rates'!$C$101)+(CRF!E15*'Study Information &amp; rates'!$D$101)+(CRF!F15*'Study Information &amp; rates'!$E$101)+(CRF!G15*'Study Information &amp; rates'!$F$101)</f>
        <v>0</v>
      </c>
      <c r="I15" s="2">
        <f>IF('Study Information &amp; rates'!$B$44="Yes",H15*0.287,0)</f>
        <v>0</v>
      </c>
      <c r="J15" s="2">
        <f>IF((Reconciliation!$C$15)&gt;5000,H15*0.05,0)</f>
        <v>0</v>
      </c>
      <c r="K15" s="232">
        <f>H15+I15+J15</f>
        <v>0</v>
      </c>
      <c r="L15" s="232">
        <f>'Set-up and other costs'!$B$18*K15</f>
        <v>0</v>
      </c>
      <c r="O15" t="str">
        <f>'Look Up'!$A$19&amp;CRF!B15</f>
        <v>CRF</v>
      </c>
    </row>
    <row r="16" spans="1:15" ht="13">
      <c r="A16" s="325"/>
      <c r="B16" s="8"/>
      <c r="C16" s="326"/>
      <c r="D16" s="326"/>
      <c r="E16" s="326"/>
      <c r="F16" s="326"/>
      <c r="G16" s="326"/>
      <c r="H16" s="1">
        <f>(C16*'Study Information &amp; rates'!$B$101)+(CRF!D16*'Study Information &amp; rates'!$C$101)+(CRF!E16*'Study Information &amp; rates'!$D$101)+(CRF!F16*'Study Information &amp; rates'!$E$101)+(CRF!G16*'Study Information &amp; rates'!$F$101)</f>
        <v>0</v>
      </c>
      <c r="I16" s="2">
        <f>IF('Study Information &amp; rates'!$B$44="Yes",H16*0.287,0)</f>
        <v>0</v>
      </c>
      <c r="J16" s="2">
        <f>IF((Reconciliation!$C$15)&gt;5000,H16*0.05,0)</f>
        <v>0</v>
      </c>
      <c r="K16" s="232">
        <f>H16+I16+J16</f>
        <v>0</v>
      </c>
      <c r="L16" s="232">
        <f>'Set-up and other costs'!$B$18*K16</f>
        <v>0</v>
      </c>
      <c r="O16" t="str">
        <f>'Look Up'!$A$19&amp;CRF!B16</f>
        <v>CRF</v>
      </c>
    </row>
    <row r="17" spans="1:15" ht="13">
      <c r="A17" s="325"/>
      <c r="B17" s="8"/>
      <c r="C17" s="326"/>
      <c r="D17" s="326"/>
      <c r="E17" s="326"/>
      <c r="F17" s="326"/>
      <c r="G17" s="326"/>
      <c r="H17" s="1">
        <f>(C17*'Study Information &amp; rates'!$B$101)+(CRF!D17*'Study Information &amp; rates'!$C$101)+(CRF!E17*'Study Information &amp; rates'!$D$101)+(CRF!F17*'Study Information &amp; rates'!$E$101)+(CRF!G17*'Study Information &amp; rates'!$F$101)</f>
        <v>0</v>
      </c>
      <c r="I17" s="2">
        <f>IF('Study Information &amp; rates'!$B$44="Yes",H17*0.287,0)</f>
        <v>0</v>
      </c>
      <c r="J17" s="2">
        <f>IF((Reconciliation!$C$15)&gt;5000,H17*0.05,0)</f>
        <v>0</v>
      </c>
      <c r="K17" s="232">
        <f>H17+I17+J17</f>
        <v>0</v>
      </c>
      <c r="L17" s="232">
        <f>'Set-up and other costs'!$B$18*K17</f>
        <v>0</v>
      </c>
      <c r="O17" t="str">
        <f>'Look Up'!$A$19&amp;CRF!B17</f>
        <v>CRF</v>
      </c>
    </row>
    <row r="18" spans="1:15" ht="13">
      <c r="A18" s="326"/>
      <c r="B18" s="8"/>
      <c r="C18" s="326"/>
      <c r="D18" s="326"/>
      <c r="E18" s="326"/>
      <c r="F18" s="326"/>
      <c r="G18" s="326"/>
      <c r="H18" s="1">
        <f>(C18*'Study Information &amp; rates'!$B$101)+(CRF!D18*'Study Information &amp; rates'!$C$101)+(CRF!E18*'Study Information &amp; rates'!$D$101)+(CRF!F18*'Study Information &amp; rates'!$E$101)+(CRF!G18*'Study Information &amp; rates'!$F$101)</f>
        <v>0</v>
      </c>
      <c r="I18" s="2">
        <f>IF('Study Information &amp; rates'!$B$44="Yes",H18*0.287,0)</f>
        <v>0</v>
      </c>
      <c r="J18" s="2">
        <f>IF((Reconciliation!$C$15)&gt;5000,H18*0.05,0)</f>
        <v>0</v>
      </c>
      <c r="K18" s="232">
        <f>H18+I18+J18</f>
        <v>0</v>
      </c>
      <c r="L18" s="232">
        <f>'Set-up and other costs'!$B$18*K18</f>
        <v>0</v>
      </c>
      <c r="O18" t="str">
        <f>'Look Up'!$A$19&amp;CRF!B18</f>
        <v>CRF</v>
      </c>
    </row>
    <row r="19" spans="1:15" ht="13">
      <c r="A19" s="326"/>
      <c r="B19" s="8"/>
      <c r="C19" s="326"/>
      <c r="D19" s="326"/>
      <c r="E19" s="326"/>
      <c r="F19" s="326"/>
      <c r="G19" s="326"/>
      <c r="H19" s="1">
        <f>(C19*'Study Information &amp; rates'!$B$101)+(CRF!D19*'Study Information &amp; rates'!$C$101)+(CRF!E19*'Study Information &amp; rates'!$D$101)+(CRF!F19*'Study Information &amp; rates'!$E$101)+(CRF!G19*'Study Information &amp; rates'!$F$101)</f>
        <v>0</v>
      </c>
      <c r="I19" s="2">
        <f>IF('Study Information &amp; rates'!$B$44="Yes",H19*0.287,0)</f>
        <v>0</v>
      </c>
      <c r="J19" s="2">
        <f>IF((Reconciliation!$C$15)&gt;5000,H19*0.05,0)</f>
        <v>0</v>
      </c>
      <c r="K19" s="232">
        <f>H19+I19+J19</f>
        <v>0</v>
      </c>
      <c r="L19" s="232">
        <f>'Set-up and other costs'!$B$18*K19</f>
        <v>0</v>
      </c>
      <c r="O19" t="str">
        <f>'Look Up'!$A$19&amp;CRF!B19</f>
        <v>CRF</v>
      </c>
    </row>
    <row r="20" spans="1:15" ht="13">
      <c r="A20" s="326"/>
      <c r="B20" s="8"/>
      <c r="C20" s="326"/>
      <c r="D20" s="326"/>
      <c r="E20" s="326"/>
      <c r="F20" s="326"/>
      <c r="G20" s="326"/>
      <c r="H20" s="1">
        <f>(C20*'Study Information &amp; rates'!$B$101)+(CRF!D20*'Study Information &amp; rates'!$C$101)+(CRF!E20*'Study Information &amp; rates'!$D$101)+(CRF!F20*'Study Information &amp; rates'!$E$101)+(CRF!G20*'Study Information &amp; rates'!$F$101)</f>
        <v>0</v>
      </c>
      <c r="I20" s="2">
        <f>IF('Study Information &amp; rates'!$B$44="Yes",H20*0.287,0)</f>
        <v>0</v>
      </c>
      <c r="J20" s="2">
        <f>IF((Reconciliation!$C$15)&gt;5000,H20*0.05,0)</f>
        <v>0</v>
      </c>
      <c r="K20" s="232">
        <f>H20+I20+J20</f>
        <v>0</v>
      </c>
      <c r="L20" s="232">
        <f>'Set-up and other costs'!$B$18*K20</f>
        <v>0</v>
      </c>
      <c r="O20" t="str">
        <f>'Look Up'!$A$19&amp;CRF!B20</f>
        <v>CRF</v>
      </c>
    </row>
    <row r="21" spans="1:15" ht="13">
      <c r="A21" s="326"/>
      <c r="B21" s="8"/>
      <c r="C21" s="326"/>
      <c r="D21" s="326"/>
      <c r="E21" s="326"/>
      <c r="F21" s="326"/>
      <c r="G21" s="326"/>
      <c r="H21" s="1">
        <f>(C21*'Study Information &amp; rates'!$B$101)+(CRF!D21*'Study Information &amp; rates'!$C$101)+(CRF!E21*'Study Information &amp; rates'!$D$101)+(CRF!F21*'Study Information &amp; rates'!$E$101)+(CRF!G21*'Study Information &amp; rates'!$F$101)</f>
        <v>0</v>
      </c>
      <c r="I21" s="2">
        <f>IF('Study Information &amp; rates'!$B$44="Yes",H21*0.287,0)</f>
        <v>0</v>
      </c>
      <c r="J21" s="2">
        <f>IF((Reconciliation!$C$15)&gt;5000,H21*0.05,0)</f>
        <v>0</v>
      </c>
      <c r="K21" s="232">
        <f>H21+I21+J21</f>
        <v>0</v>
      </c>
      <c r="L21" s="232">
        <f>'Set-up and other costs'!$B$18*K21</f>
        <v>0</v>
      </c>
      <c r="O21" t="str">
        <f>'Look Up'!$A$19&amp;CRF!B21</f>
        <v>CRF</v>
      </c>
    </row>
    <row r="22" spans="1:15" ht="13">
      <c r="A22" s="326"/>
      <c r="B22" s="8"/>
      <c r="C22" s="326"/>
      <c r="D22" s="326"/>
      <c r="E22" s="326"/>
      <c r="F22" s="326"/>
      <c r="G22" s="326"/>
      <c r="H22" s="1">
        <f>(C22*'Study Information &amp; rates'!$B$101)+(CRF!D22*'Study Information &amp; rates'!$C$101)+(CRF!E22*'Study Information &amp; rates'!$D$101)+(CRF!F22*'Study Information &amp; rates'!$E$101)+(CRF!G22*'Study Information &amp; rates'!$F$101)</f>
        <v>0</v>
      </c>
      <c r="I22" s="2">
        <f>IF('Study Information &amp; rates'!$B$44="Yes",H22*0.287,0)</f>
        <v>0</v>
      </c>
      <c r="J22" s="2">
        <f>IF((Reconciliation!$C$15)&gt;5000,H22*0.05,0)</f>
        <v>0</v>
      </c>
      <c r="K22" s="232">
        <f>H22+I22+J22</f>
        <v>0</v>
      </c>
      <c r="L22" s="232">
        <f>'Set-up and other costs'!$B$18*K22</f>
        <v>0</v>
      </c>
      <c r="O22" t="str">
        <f>'Look Up'!$A$19&amp;CRF!B22</f>
        <v>CRF</v>
      </c>
    </row>
    <row r="23" spans="1:15" ht="13">
      <c r="A23" s="326"/>
      <c r="B23" s="8"/>
      <c r="C23" s="326"/>
      <c r="D23" s="326"/>
      <c r="E23" s="326"/>
      <c r="F23" s="326"/>
      <c r="G23" s="326"/>
      <c r="H23" s="1">
        <f>(C23*'Study Information &amp; rates'!$B$101)+(CRF!D23*'Study Information &amp; rates'!$C$101)+(CRF!E23*'Study Information &amp; rates'!$D$101)+(CRF!F23*'Study Information &amp; rates'!$E$101)+(CRF!G23*'Study Information &amp; rates'!$F$101)</f>
        <v>0</v>
      </c>
      <c r="I23" s="2">
        <f>IF('Study Information &amp; rates'!$B$44="Yes",H23*0.287,0)</f>
        <v>0</v>
      </c>
      <c r="J23" s="2">
        <f>IF((Reconciliation!$C$15)&gt;5000,H23*0.05,0)</f>
        <v>0</v>
      </c>
      <c r="K23" s="232">
        <f>H23+I23+J23</f>
        <v>0</v>
      </c>
      <c r="L23" s="232">
        <f>'Set-up and other costs'!$B$18*K23</f>
        <v>0</v>
      </c>
      <c r="O23" t="str">
        <f>'Look Up'!$A$19&amp;CRF!B23</f>
        <v>CRF</v>
      </c>
    </row>
    <row r="24" spans="1:15" ht="13">
      <c r="A24" s="326"/>
      <c r="B24" s="8"/>
      <c r="C24" s="326"/>
      <c r="D24" s="326"/>
      <c r="E24" s="326"/>
      <c r="F24" s="326"/>
      <c r="G24" s="326"/>
      <c r="H24" s="1">
        <f>(C24*'Study Information &amp; rates'!$B$101)+(CRF!D24*'Study Information &amp; rates'!$C$101)+(CRF!E24*'Study Information &amp; rates'!$D$101)+(CRF!F24*'Study Information &amp; rates'!$E$101)+(CRF!G24*'Study Information &amp; rates'!$F$101)</f>
        <v>0</v>
      </c>
      <c r="I24" s="2">
        <f>IF('Study Information &amp; rates'!$B$44="Yes",H24*0.287,0)</f>
        <v>0</v>
      </c>
      <c r="J24" s="2">
        <f>IF((Reconciliation!$C$15)&gt;5000,H24*0.05,0)</f>
        <v>0</v>
      </c>
      <c r="K24" s="232">
        <f>H24+I24+J24</f>
        <v>0</v>
      </c>
      <c r="L24" s="232">
        <f>'Set-up and other costs'!$B$18*K24</f>
        <v>0</v>
      </c>
      <c r="O24" t="str">
        <f>'Look Up'!$A$19&amp;CRF!B24</f>
        <v>CRF</v>
      </c>
    </row>
    <row r="25" spans="1:15" ht="13">
      <c r="A25" s="326"/>
      <c r="B25" s="8"/>
      <c r="C25" s="326"/>
      <c r="D25" s="326"/>
      <c r="E25" s="326"/>
      <c r="F25" s="326"/>
      <c r="G25" s="326"/>
      <c r="H25" s="1">
        <f>(C25*'Study Information &amp; rates'!$B$101)+(CRF!D25*'Study Information &amp; rates'!$C$101)+(CRF!E25*'Study Information &amp; rates'!$D$101)+(CRF!F25*'Study Information &amp; rates'!$E$101)+(CRF!G25*'Study Information &amp; rates'!$F$101)</f>
        <v>0</v>
      </c>
      <c r="I25" s="2">
        <f>IF('Study Information &amp; rates'!$B$44="Yes",H25*0.287,0)</f>
        <v>0</v>
      </c>
      <c r="J25" s="2">
        <f>IF((Reconciliation!$C$15)&gt;5000,H25*0.05,0)</f>
        <v>0</v>
      </c>
      <c r="K25" s="232">
        <f>H25+I25+J25</f>
        <v>0</v>
      </c>
      <c r="L25" s="232">
        <f>'Set-up and other costs'!$B$18*K25</f>
        <v>0</v>
      </c>
      <c r="O25" t="str">
        <f>'Look Up'!$A$19&amp;CRF!B25</f>
        <v>CRF</v>
      </c>
    </row>
    <row r="26" spans="1:15" ht="13">
      <c r="A26" s="326"/>
      <c r="B26" s="8"/>
      <c r="C26" s="326"/>
      <c r="D26" s="326"/>
      <c r="E26" s="326"/>
      <c r="F26" s="326"/>
      <c r="G26" s="326"/>
      <c r="H26" s="1">
        <f>(C26*'Study Information &amp; rates'!$B$101)+(CRF!D26*'Study Information &amp; rates'!$C$101)+(CRF!E26*'Study Information &amp; rates'!$D$101)+(CRF!F26*'Study Information &amp; rates'!$E$101)+(CRF!G26*'Study Information &amp; rates'!$F$101)</f>
        <v>0</v>
      </c>
      <c r="I26" s="2">
        <f>IF('Study Information &amp; rates'!$B$44="Yes",H26*0.287,0)</f>
        <v>0</v>
      </c>
      <c r="J26" s="2">
        <f>IF((Reconciliation!$C$15)&gt;5000,H26*0.05,0)</f>
        <v>0</v>
      </c>
      <c r="K26" s="232">
        <f>H26+I26+J26</f>
        <v>0</v>
      </c>
      <c r="L26" s="232">
        <f>'Set-up and other costs'!$B$18*K26</f>
        <v>0</v>
      </c>
      <c r="O26" t="str">
        <f>'Look Up'!$A$19&amp;CRF!B26</f>
        <v>CRF</v>
      </c>
    </row>
    <row r="27" spans="11:15" s="5" customFormat="1" ht="13">
      <c r="K27" s="480">
        <f>SUM(K4:K26)</f>
        <v>0</v>
      </c>
      <c r="L27" s="232">
        <f>'Set-up and other costs'!$B$18*K27</f>
        <v>0</v>
      </c>
      <c r="O27"/>
    </row>
    <row r="28" spans="15:15" s="5" customFormat="1" ht="13">
      <c r="O28"/>
    </row>
    <row r="29" spans="1:15" s="5" customFormat="1" ht="15.5">
      <c r="A29" s="21" t="s">
        <v>31</v>
      </c>
      <c r="B29" s="21"/>
      <c r="O29"/>
    </row>
    <row r="30" spans="15:15" s="5" customFormat="1" ht="13">
      <c r="O30"/>
    </row>
    <row r="31" spans="1:12" ht="52">
      <c r="A31" s="430" t="s">
        <v>24</v>
      </c>
      <c r="B31" s="430" t="s">
        <v>2059</v>
      </c>
      <c r="C31" s="562"/>
      <c r="D31" s="562"/>
      <c r="E31" s="562"/>
      <c r="F31" s="562"/>
      <c r="G31" s="562"/>
      <c r="H31" s="430" t="s">
        <v>25</v>
      </c>
      <c r="I31" s="430" t="s">
        <v>27</v>
      </c>
      <c r="J31" s="430" t="s">
        <v>28</v>
      </c>
      <c r="K31" s="430" t="s">
        <v>2251</v>
      </c>
      <c r="L31" s="430" t="s">
        <v>2252</v>
      </c>
    </row>
    <row r="32" spans="1:15" ht="13">
      <c r="A32" s="278"/>
      <c r="B32" s="8"/>
      <c r="C32" s="288"/>
      <c r="D32" s="288"/>
      <c r="E32" s="288"/>
      <c r="F32" s="288"/>
      <c r="G32" s="288"/>
      <c r="H32" s="324"/>
      <c r="I32" s="3"/>
      <c r="J32" s="3"/>
      <c r="K32" s="542">
        <f>J32*I32*H32</f>
        <v>0</v>
      </c>
      <c r="L32" s="539">
        <f>'Set-up and other costs'!$B$18*K32</f>
        <v>0</v>
      </c>
      <c r="O32" t="str">
        <f>'Look Up'!$A$19&amp;CRF!B32</f>
        <v>CRF</v>
      </c>
    </row>
    <row r="33" spans="1:15" ht="13">
      <c r="A33" s="278"/>
      <c r="B33" s="8"/>
      <c r="C33" s="288"/>
      <c r="D33" s="288"/>
      <c r="E33" s="288"/>
      <c r="F33" s="288"/>
      <c r="G33" s="288"/>
      <c r="H33" s="324"/>
      <c r="I33" s="3"/>
      <c r="J33" s="3"/>
      <c r="K33" s="542">
        <f>J33*I33*H33</f>
        <v>0</v>
      </c>
      <c r="L33" s="539">
        <f>'Set-up and other costs'!$B$18*K33</f>
        <v>0</v>
      </c>
      <c r="O33" t="str">
        <f>'Look Up'!$A$19&amp;CRF!B33</f>
        <v>CRF</v>
      </c>
    </row>
    <row r="34" spans="1:15" ht="13">
      <c r="A34" s="278"/>
      <c r="B34" s="8"/>
      <c r="C34" s="288"/>
      <c r="D34" s="288"/>
      <c r="E34" s="288"/>
      <c r="F34" s="288"/>
      <c r="G34" s="288"/>
      <c r="H34" s="324"/>
      <c r="I34" s="3"/>
      <c r="J34" s="3"/>
      <c r="K34" s="542">
        <f>J34*I34*H34</f>
        <v>0</v>
      </c>
      <c r="L34" s="539">
        <f>'Set-up and other costs'!$B$18*K34</f>
        <v>0</v>
      </c>
      <c r="O34" t="str">
        <f>'Look Up'!$A$19&amp;CRF!B34</f>
        <v>CRF</v>
      </c>
    </row>
    <row r="35" spans="1:15" ht="13">
      <c r="A35" s="278"/>
      <c r="B35" s="8"/>
      <c r="C35" s="288"/>
      <c r="D35" s="288"/>
      <c r="E35" s="288"/>
      <c r="F35" s="288"/>
      <c r="G35" s="288"/>
      <c r="H35" s="324"/>
      <c r="I35" s="3"/>
      <c r="J35" s="3"/>
      <c r="K35" s="542">
        <f>J35*I35*H35</f>
        <v>0</v>
      </c>
      <c r="L35" s="539">
        <f>'Set-up and other costs'!$B$18*K35</f>
        <v>0</v>
      </c>
      <c r="O35" t="str">
        <f>'Look Up'!$A$19&amp;CRF!B35</f>
        <v>CRF</v>
      </c>
    </row>
    <row r="36" spans="1:15" ht="13">
      <c r="A36" s="278"/>
      <c r="B36" s="8"/>
      <c r="C36" s="288"/>
      <c r="D36" s="288"/>
      <c r="E36" s="288"/>
      <c r="F36" s="288"/>
      <c r="G36" s="288"/>
      <c r="H36" s="324"/>
      <c r="I36" s="3"/>
      <c r="J36" s="3"/>
      <c r="K36" s="542">
        <f>J36*I36*H36</f>
        <v>0</v>
      </c>
      <c r="L36" s="539">
        <f>'Set-up and other costs'!$B$18*K36</f>
        <v>0</v>
      </c>
      <c r="O36" t="str">
        <f>'Look Up'!$A$19&amp;CRF!B36</f>
        <v>CRF</v>
      </c>
    </row>
    <row r="37" spans="1:15" ht="13">
      <c r="A37" s="278"/>
      <c r="B37" s="8"/>
      <c r="C37" s="288"/>
      <c r="D37" s="288"/>
      <c r="E37" s="288"/>
      <c r="F37" s="288"/>
      <c r="G37" s="288"/>
      <c r="H37" s="324"/>
      <c r="I37" s="3"/>
      <c r="J37" s="3"/>
      <c r="K37" s="542">
        <f>J37*I37*H37</f>
        <v>0</v>
      </c>
      <c r="L37" s="539">
        <f>'Set-up and other costs'!$B$18*K37</f>
        <v>0</v>
      </c>
      <c r="O37" t="str">
        <f>'Look Up'!$A$19&amp;CRF!B37</f>
        <v>CRF</v>
      </c>
    </row>
    <row r="38" spans="1:15" ht="13">
      <c r="A38" s="278"/>
      <c r="B38" s="8"/>
      <c r="C38" s="288"/>
      <c r="D38" s="288"/>
      <c r="E38" s="288"/>
      <c r="F38" s="288"/>
      <c r="G38" s="288"/>
      <c r="H38" s="324"/>
      <c r="I38" s="3"/>
      <c r="J38" s="3"/>
      <c r="K38" s="542">
        <f>J38*I38*H38</f>
        <v>0</v>
      </c>
      <c r="L38" s="539">
        <f>'Set-up and other costs'!$B$18*K38</f>
        <v>0</v>
      </c>
      <c r="O38" t="str">
        <f>'Look Up'!$A$19&amp;CRF!B38</f>
        <v>CRF</v>
      </c>
    </row>
    <row r="39" spans="1:15" ht="13">
      <c r="A39" s="278"/>
      <c r="B39" s="8"/>
      <c r="C39" s="288"/>
      <c r="D39" s="288"/>
      <c r="E39" s="288"/>
      <c r="F39" s="288"/>
      <c r="G39" s="288"/>
      <c r="H39" s="324"/>
      <c r="I39" s="3"/>
      <c r="J39" s="3"/>
      <c r="K39" s="542">
        <f>J39*I39*H39</f>
        <v>0</v>
      </c>
      <c r="L39" s="539">
        <f>'Set-up and other costs'!$B$18*K39</f>
        <v>0</v>
      </c>
      <c r="O39" t="str">
        <f>'Look Up'!$A$19&amp;CRF!B39</f>
        <v>CRF</v>
      </c>
    </row>
    <row r="40" spans="1:15" ht="13">
      <c r="A40" s="278"/>
      <c r="B40" s="8"/>
      <c r="C40" s="288"/>
      <c r="D40" s="288"/>
      <c r="E40" s="288"/>
      <c r="F40" s="288"/>
      <c r="G40" s="288"/>
      <c r="H40" s="324"/>
      <c r="I40" s="3"/>
      <c r="J40" s="3"/>
      <c r="K40" s="542">
        <f>J40*I40*H40</f>
        <v>0</v>
      </c>
      <c r="L40" s="539">
        <f>'Set-up and other costs'!$B$18*K40</f>
        <v>0</v>
      </c>
      <c r="O40" t="str">
        <f>'Look Up'!$A$19&amp;CRF!B40</f>
        <v>CRF</v>
      </c>
    </row>
    <row r="41" spans="1:15" ht="13">
      <c r="A41" s="278"/>
      <c r="B41" s="8"/>
      <c r="C41" s="288"/>
      <c r="D41" s="288"/>
      <c r="E41" s="288"/>
      <c r="F41" s="288"/>
      <c r="G41" s="288"/>
      <c r="H41" s="324"/>
      <c r="I41" s="3"/>
      <c r="J41" s="3"/>
      <c r="K41" s="542">
        <f>J41*I41*H41</f>
        <v>0</v>
      </c>
      <c r="L41" s="539">
        <f>'Set-up and other costs'!$B$18*K41</f>
        <v>0</v>
      </c>
      <c r="O41" t="str">
        <f>'Look Up'!$A$19&amp;CRF!B41</f>
        <v>CRF</v>
      </c>
    </row>
    <row r="42" spans="1:15" ht="13">
      <c r="A42" s="278"/>
      <c r="B42" s="8"/>
      <c r="C42" s="288"/>
      <c r="D42" s="288"/>
      <c r="E42" s="288"/>
      <c r="F42" s="288"/>
      <c r="G42" s="288"/>
      <c r="H42" s="324"/>
      <c r="I42" s="3"/>
      <c r="J42" s="3"/>
      <c r="K42" s="542">
        <f>J42*I42*H42</f>
        <v>0</v>
      </c>
      <c r="L42" s="539">
        <f>'Set-up and other costs'!$B$18*K42</f>
        <v>0</v>
      </c>
      <c r="O42" t="str">
        <f>'Look Up'!$A$19&amp;CRF!B42</f>
        <v>CRF</v>
      </c>
    </row>
    <row r="43" spans="1:15" ht="13">
      <c r="A43" s="278"/>
      <c r="B43" s="8"/>
      <c r="C43" s="288"/>
      <c r="D43" s="288"/>
      <c r="E43" s="288"/>
      <c r="F43" s="288"/>
      <c r="G43" s="288"/>
      <c r="H43" s="324"/>
      <c r="I43" s="3"/>
      <c r="J43" s="3"/>
      <c r="K43" s="542">
        <f>J43*I43*H43</f>
        <v>0</v>
      </c>
      <c r="L43" s="539">
        <f>'Set-up and other costs'!$B$18*K43</f>
        <v>0</v>
      </c>
      <c r="O43" t="str">
        <f>'Look Up'!$A$19&amp;CRF!B43</f>
        <v>CRF</v>
      </c>
    </row>
    <row r="44" spans="1:15" ht="13">
      <c r="A44" s="278"/>
      <c r="B44" s="8"/>
      <c r="C44" s="288"/>
      <c r="D44" s="288"/>
      <c r="E44" s="288"/>
      <c r="F44" s="288"/>
      <c r="G44" s="288"/>
      <c r="H44" s="324"/>
      <c r="I44" s="3"/>
      <c r="J44" s="3"/>
      <c r="K44" s="542">
        <f>J44*I44*H44</f>
        <v>0</v>
      </c>
      <c r="L44" s="539">
        <f>'Set-up and other costs'!$B$18*K44</f>
        <v>0</v>
      </c>
      <c r="O44" t="str">
        <f>'Look Up'!$A$19&amp;CRF!B44</f>
        <v>CRF</v>
      </c>
    </row>
    <row r="45" spans="1:15" ht="13">
      <c r="A45" s="278"/>
      <c r="B45" s="8"/>
      <c r="C45" s="288"/>
      <c r="D45" s="288"/>
      <c r="E45" s="288"/>
      <c r="F45" s="288"/>
      <c r="G45" s="288"/>
      <c r="H45" s="324"/>
      <c r="I45" s="3"/>
      <c r="J45" s="3"/>
      <c r="K45" s="542">
        <f>J45*I45*H45</f>
        <v>0</v>
      </c>
      <c r="L45" s="539">
        <f>'Set-up and other costs'!$B$18*K45</f>
        <v>0</v>
      </c>
      <c r="O45" t="str">
        <f>'Look Up'!$A$19&amp;CRF!B45</f>
        <v>CRF</v>
      </c>
    </row>
    <row r="46" spans="1:12" ht="13">
      <c r="A46" s="23" t="s">
        <v>34</v>
      </c>
      <c r="B46" s="23"/>
      <c r="C46" s="289"/>
      <c r="D46" s="289"/>
      <c r="E46" s="289"/>
      <c r="F46" s="289"/>
      <c r="G46" s="289"/>
      <c r="H46" s="5"/>
      <c r="I46" s="5"/>
      <c r="J46" s="5"/>
      <c r="K46" s="543">
        <f>SUM(K32:K45)</f>
        <v>0</v>
      </c>
      <c r="L46" s="539">
        <f>'Set-up and other costs'!$B$18*K46</f>
        <v>0</v>
      </c>
    </row>
    <row r="47" spans="1:6" ht="13">
      <c r="A47" s="5"/>
      <c r="B47" s="5"/>
      <c r="C47" s="5"/>
      <c r="D47" s="5"/>
      <c r="E47" s="5"/>
      <c r="F47" s="5"/>
    </row>
    <row r="48" spans="1:6" ht="15.5">
      <c r="A48" s="21" t="s">
        <v>1905</v>
      </c>
      <c r="B48" s="21"/>
      <c r="D48" s="5"/>
      <c r="E48" s="5"/>
      <c r="F48" s="5"/>
    </row>
    <row r="49" spans="1:14" ht="52">
      <c r="A49" s="430" t="s">
        <v>24</v>
      </c>
      <c r="B49" s="430" t="s">
        <v>2059</v>
      </c>
      <c r="C49" s="562"/>
      <c r="D49" s="562"/>
      <c r="E49" s="562"/>
      <c r="F49" s="562"/>
      <c r="G49" s="562"/>
      <c r="H49" s="430" t="s">
        <v>25</v>
      </c>
      <c r="I49" s="430" t="s">
        <v>27</v>
      </c>
      <c r="J49" s="430" t="s">
        <v>28</v>
      </c>
      <c r="K49" s="430" t="s">
        <v>2251</v>
      </c>
      <c r="L49" s="430" t="s">
        <v>2252</v>
      </c>
      <c r="M49" s="5"/>
      <c r="N49" s="5"/>
    </row>
    <row r="50" spans="1:15" ht="13">
      <c r="A50" s="278"/>
      <c r="B50" s="8"/>
      <c r="C50" s="288"/>
      <c r="D50" s="288"/>
      <c r="E50" s="288"/>
      <c r="F50" s="288"/>
      <c r="G50" s="288"/>
      <c r="H50" s="324"/>
      <c r="I50" s="3"/>
      <c r="J50" s="3"/>
      <c r="K50" s="542">
        <f>J50*I50*H50</f>
        <v>0</v>
      </c>
      <c r="L50" s="539">
        <f>'Set-up and other costs'!$B$18*K50</f>
        <v>0</v>
      </c>
      <c r="M50" s="5"/>
      <c r="N50" s="5"/>
      <c r="O50" t="str">
        <f>'Look Up'!$A$19&amp;CRF!B50</f>
        <v>CRF</v>
      </c>
    </row>
    <row r="51" spans="1:15" ht="13">
      <c r="A51" s="278"/>
      <c r="B51" s="8"/>
      <c r="C51" s="288"/>
      <c r="D51" s="288"/>
      <c r="E51" s="288"/>
      <c r="F51" s="288"/>
      <c r="G51" s="288"/>
      <c r="H51" s="324"/>
      <c r="I51" s="3"/>
      <c r="J51" s="3"/>
      <c r="K51" s="542">
        <f>J51*I51*H51</f>
        <v>0</v>
      </c>
      <c r="L51" s="539">
        <f>'Set-up and other costs'!$B$18*K51</f>
        <v>0</v>
      </c>
      <c r="M51" s="5"/>
      <c r="N51" s="5"/>
      <c r="O51" t="str">
        <f>'Look Up'!$A$19&amp;CRF!B51</f>
        <v>CRF</v>
      </c>
    </row>
    <row r="52" spans="1:15" ht="13">
      <c r="A52" s="278"/>
      <c r="B52" s="8"/>
      <c r="C52" s="288"/>
      <c r="D52" s="288"/>
      <c r="E52" s="288"/>
      <c r="F52" s="288"/>
      <c r="G52" s="288"/>
      <c r="H52" s="324"/>
      <c r="I52" s="3"/>
      <c r="J52" s="3"/>
      <c r="K52" s="542">
        <f>J52*I52*H52</f>
        <v>0</v>
      </c>
      <c r="L52" s="539">
        <f>'Set-up and other costs'!$B$18*K52</f>
        <v>0</v>
      </c>
      <c r="M52" s="5"/>
      <c r="N52" s="5"/>
      <c r="O52" t="str">
        <f>'Look Up'!$A$19&amp;CRF!B52</f>
        <v>CRF</v>
      </c>
    </row>
    <row r="53" spans="1:15" ht="13">
      <c r="A53" s="278"/>
      <c r="B53" s="8"/>
      <c r="C53" s="288"/>
      <c r="D53" s="288"/>
      <c r="E53" s="288"/>
      <c r="F53" s="288"/>
      <c r="G53" s="288"/>
      <c r="H53" s="324"/>
      <c r="I53" s="3"/>
      <c r="J53" s="3"/>
      <c r="K53" s="542">
        <f>J53*I53*H53</f>
        <v>0</v>
      </c>
      <c r="L53" s="539">
        <f>'Set-up and other costs'!$B$18*K53</f>
        <v>0</v>
      </c>
      <c r="M53" s="5"/>
      <c r="N53" s="5"/>
      <c r="O53" t="str">
        <f>'Look Up'!$A$19&amp;CRF!B53</f>
        <v>CRF</v>
      </c>
    </row>
    <row r="54" spans="1:15" ht="13">
      <c r="A54" s="278"/>
      <c r="B54" s="8"/>
      <c r="C54" s="288"/>
      <c r="D54" s="288"/>
      <c r="E54" s="288"/>
      <c r="F54" s="288"/>
      <c r="G54" s="288"/>
      <c r="H54" s="324"/>
      <c r="I54" s="3"/>
      <c r="J54" s="3"/>
      <c r="K54" s="542">
        <f>J54*I54*H54</f>
        <v>0</v>
      </c>
      <c r="L54" s="539">
        <f>'Set-up and other costs'!$B$18*K54</f>
        <v>0</v>
      </c>
      <c r="M54" s="5"/>
      <c r="N54" s="5"/>
      <c r="O54" t="str">
        <f>'Look Up'!$A$19&amp;CRF!B54</f>
        <v>CRF</v>
      </c>
    </row>
    <row r="55" spans="1:15" ht="13">
      <c r="A55" s="278"/>
      <c r="B55" s="8"/>
      <c r="C55" s="288"/>
      <c r="D55" s="288"/>
      <c r="E55" s="288"/>
      <c r="F55" s="288"/>
      <c r="G55" s="288"/>
      <c r="H55" s="324"/>
      <c r="I55" s="3"/>
      <c r="J55" s="3"/>
      <c r="K55" s="542">
        <f>J55*I55*H55</f>
        <v>0</v>
      </c>
      <c r="L55" s="539">
        <f>'Set-up and other costs'!$B$18*K55</f>
        <v>0</v>
      </c>
      <c r="M55" s="5"/>
      <c r="N55" s="5"/>
      <c r="O55" t="str">
        <f>'Look Up'!$A$19&amp;CRF!B55</f>
        <v>CRF</v>
      </c>
    </row>
    <row r="56" spans="1:15" ht="13">
      <c r="A56" s="278"/>
      <c r="B56" s="8"/>
      <c r="C56" s="288"/>
      <c r="D56" s="288"/>
      <c r="E56" s="288"/>
      <c r="F56" s="288"/>
      <c r="G56" s="288"/>
      <c r="H56" s="324"/>
      <c r="I56" s="3"/>
      <c r="J56" s="3"/>
      <c r="K56" s="542">
        <f>J56*I56*H56</f>
        <v>0</v>
      </c>
      <c r="L56" s="539">
        <f>'Set-up and other costs'!$B$18*K56</f>
        <v>0</v>
      </c>
      <c r="M56" s="5"/>
      <c r="N56" s="5"/>
      <c r="O56" t="str">
        <f>'Look Up'!$A$19&amp;CRF!B56</f>
        <v>CRF</v>
      </c>
    </row>
    <row r="57" spans="1:15" ht="13">
      <c r="A57" s="278"/>
      <c r="B57" s="8"/>
      <c r="C57" s="288"/>
      <c r="D57" s="288"/>
      <c r="E57" s="288"/>
      <c r="F57" s="288"/>
      <c r="G57" s="288"/>
      <c r="H57" s="324"/>
      <c r="I57" s="3"/>
      <c r="J57" s="3"/>
      <c r="K57" s="542">
        <f>J57*I57*H57</f>
        <v>0</v>
      </c>
      <c r="L57" s="539">
        <f>'Set-up and other costs'!$B$18*K57</f>
        <v>0</v>
      </c>
      <c r="M57" s="5"/>
      <c r="N57" s="5"/>
      <c r="O57" t="str">
        <f>'Look Up'!$A$19&amp;CRF!B57</f>
        <v>CRF</v>
      </c>
    </row>
    <row r="58" spans="1:15" ht="13">
      <c r="A58" s="278"/>
      <c r="B58" s="8"/>
      <c r="C58" s="288"/>
      <c r="D58" s="288"/>
      <c r="E58" s="288"/>
      <c r="F58" s="288"/>
      <c r="G58" s="288"/>
      <c r="H58" s="324"/>
      <c r="I58" s="3"/>
      <c r="J58" s="3"/>
      <c r="K58" s="542">
        <f>J58*I58*H58</f>
        <v>0</v>
      </c>
      <c r="L58" s="539">
        <f>'Set-up and other costs'!$B$18*K58</f>
        <v>0</v>
      </c>
      <c r="M58" s="5"/>
      <c r="N58" s="5"/>
      <c r="O58" t="str">
        <f>'Look Up'!$A$19&amp;CRF!B58</f>
        <v>CRF</v>
      </c>
    </row>
    <row r="59" spans="1:15" ht="13">
      <c r="A59" s="278"/>
      <c r="B59" s="8"/>
      <c r="C59" s="288"/>
      <c r="D59" s="288"/>
      <c r="E59" s="288"/>
      <c r="F59" s="288"/>
      <c r="G59" s="288"/>
      <c r="H59" s="324"/>
      <c r="I59" s="3"/>
      <c r="J59" s="3"/>
      <c r="K59" s="542">
        <f>J59*I59*H59</f>
        <v>0</v>
      </c>
      <c r="L59" s="539">
        <f>'Set-up and other costs'!$B$18*K59</f>
        <v>0</v>
      </c>
      <c r="M59" s="5"/>
      <c r="N59" s="5"/>
      <c r="O59" t="str">
        <f>'Look Up'!$A$19&amp;CRF!B59</f>
        <v>CRF</v>
      </c>
    </row>
    <row r="60" spans="1:15" ht="13">
      <c r="A60" s="278"/>
      <c r="B60" s="8"/>
      <c r="C60" s="288"/>
      <c r="D60" s="288"/>
      <c r="E60" s="288"/>
      <c r="F60" s="288"/>
      <c r="G60" s="288"/>
      <c r="H60" s="324"/>
      <c r="I60" s="3"/>
      <c r="J60" s="3"/>
      <c r="K60" s="542">
        <f>J60*I60*H60</f>
        <v>0</v>
      </c>
      <c r="L60" s="539">
        <f>'Set-up and other costs'!$B$18*K60</f>
        <v>0</v>
      </c>
      <c r="M60" s="5"/>
      <c r="N60" s="5"/>
      <c r="O60" t="str">
        <f>'Look Up'!$A$19&amp;CRF!B60</f>
        <v>CRF</v>
      </c>
    </row>
    <row r="61" spans="1:15" ht="13">
      <c r="A61" s="278"/>
      <c r="B61" s="8"/>
      <c r="C61" s="288"/>
      <c r="D61" s="288"/>
      <c r="E61" s="288"/>
      <c r="F61" s="288"/>
      <c r="G61" s="288"/>
      <c r="H61" s="324"/>
      <c r="I61" s="3"/>
      <c r="J61" s="3"/>
      <c r="K61" s="542">
        <f>J61*I61*H61</f>
        <v>0</v>
      </c>
      <c r="L61" s="539">
        <f>'Set-up and other costs'!$B$18*K61</f>
        <v>0</v>
      </c>
      <c r="M61" s="5"/>
      <c r="N61" s="5"/>
      <c r="O61" t="str">
        <f>'Look Up'!$A$19&amp;CRF!B61</f>
        <v>CRF</v>
      </c>
    </row>
    <row r="62" spans="1:15" ht="13">
      <c r="A62" s="278"/>
      <c r="B62" s="8"/>
      <c r="C62" s="288"/>
      <c r="D62" s="288"/>
      <c r="E62" s="288"/>
      <c r="F62" s="288"/>
      <c r="G62" s="288"/>
      <c r="H62" s="324"/>
      <c r="I62" s="3"/>
      <c r="J62" s="3"/>
      <c r="K62" s="542">
        <f>J62*I62*H62</f>
        <v>0</v>
      </c>
      <c r="L62" s="539">
        <f>'Set-up and other costs'!$B$18*K62</f>
        <v>0</v>
      </c>
      <c r="M62" s="5"/>
      <c r="N62" s="5"/>
      <c r="O62" t="str">
        <f>'Look Up'!$A$19&amp;CRF!B62</f>
        <v>CRF</v>
      </c>
    </row>
    <row r="63" spans="1:15" ht="13">
      <c r="A63" s="5"/>
      <c r="B63" s="5" t="s">
        <v>50</v>
      </c>
      <c r="C63" s="5"/>
      <c r="D63" s="5"/>
      <c r="E63" s="5"/>
      <c r="F63" s="5"/>
      <c r="G63" s="5"/>
      <c r="H63" s="5"/>
      <c r="I63" s="5"/>
      <c r="J63" s="5"/>
      <c r="K63" s="540"/>
      <c r="L63" s="544">
        <f>SUM(L50:L62)</f>
        <v>0</v>
      </c>
      <c r="M63" s="5"/>
      <c r="N63" s="5"/>
      <c r="O63" s="5"/>
    </row>
    <row r="64" spans="1:6" ht="13">
      <c r="A64" s="5"/>
      <c r="B64" s="5"/>
      <c r="C64" s="5"/>
      <c r="D64" s="5"/>
      <c r="E64" s="5"/>
      <c r="F64" s="5"/>
    </row>
  </sheetData>
  <sheetProtection algorithmName="SHA-512" hashValue="JN23l+o5BJjfFyBTvQHLtcnZvfiacRTfjryO2vSdxEu5zrHCjUiU/nkaKV6pz0+66goQKW0dmezDblMVjSgkgw==" saltValue="QC3bCwXhFwGNksVk6+0Ghg==" spinCount="100000" sheet="1" objects="1" scenarios="1"/>
  <dataValidations count="5">
    <dataValidation type="list" allowBlank="1" showInputMessage="1" showErrorMessage="1" sqref="B50:B62 B32:B45 B4:B26">
      <formula1>AcCord</formula1>
    </dataValidation>
    <dataValidation type="list" allowBlank="1" showInputMessage="1" showErrorMessage="1" sqref="B50:B62 B32:B45">
      <formula1>'Look Up'!A35:A39</formula1>
    </dataValidation>
    <dataValidation type="list" allowBlank="1" showInputMessage="1" showErrorMessage="1" sqref="B4:B26">
      <formula1>'Look Up'!A5:A9</formula1>
    </dataValidation>
    <dataValidation type="list" allowBlank="1" showInputMessage="1" showErrorMessage="1" sqref="C50:G62">
      <formula1>'Look Up'!A23:A27</formula1>
    </dataValidation>
    <dataValidation type="list" allowBlank="1" showInputMessage="1" showErrorMessage="1" sqref="C32:G45">
      <formula1>'Look Up'!A5:A7</formula1>
    </dataValidation>
  </dataValidations>
  <pageMargins left="0.7" right="0.7" top="0.75" bottom="0.75" header="0.3" footer="0.3"/>
  <pageSetup paperSize="9" orientation="portrait"/>
  <headerFooter scaleWithDoc="1" alignWithMargins="0" differentFirst="0" differentOddEven="0"/>
  <extLst/>
</worksheet>
</file>

<file path=xl/worksheets/sheet1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W33"/>
  <sheetViews>
    <sheetView topLeftCell="E1" zoomScale="60" view="normal" workbookViewId="0">
      <selection pane="topLeft" activeCell="T17" sqref="T17"/>
    </sheetView>
  </sheetViews>
  <sheetFormatPr defaultColWidth="9.1796875" defaultRowHeight="14.5"/>
  <cols>
    <col min="1" max="3" width="43.140625" customWidth="1"/>
    <col min="4" max="4" width="18.140625" customWidth="1"/>
    <col min="5" max="5" width="11.140625" customWidth="1"/>
    <col min="6" max="6" width="9.41796875" customWidth="1"/>
    <col min="7" max="7" width="18.140625" hidden="1" customWidth="1"/>
    <col min="8" max="8" width="10.41796875" hidden="1" customWidth="1"/>
    <col min="9" max="9" width="10.84765625" hidden="1" customWidth="1"/>
    <col min="10" max="10" width="14.27734375" customWidth="1"/>
    <col min="11" max="11" width="6.41796875" customWidth="1"/>
    <col min="12" max="12" width="6.41796875" hidden="1" customWidth="1"/>
    <col min="13" max="13" width="7.5703125" hidden="1" customWidth="1"/>
    <col min="14" max="15" width="6.41796875" hidden="1" customWidth="1"/>
    <col min="16" max="16" width="6.41796875" customWidth="1"/>
    <col min="17" max="17" width="7.5703125" customWidth="1"/>
    <col min="18" max="18" width="16.84765625" customWidth="1"/>
    <col min="19" max="19" width="33.41796875" customWidth="1"/>
    <col min="20" max="20" width="9.41796875" customWidth="1"/>
    <col min="21" max="22" width="9.140625" customWidth="1"/>
    <col min="23" max="23" width="9.140625" style="271" customWidth="1"/>
    <col min="24" max="16384" width="9.140625" customWidth="1"/>
  </cols>
  <sheetData>
    <row r="1" spans="1:3">
      <c r="A1" t="s">
        <v>2031</v>
      </c>
      <c r="B1" s="189" t="s">
        <v>2030</v>
      </c>
      <c r="C1" s="295" t="s">
        <v>1877</v>
      </c>
    </row>
    <row r="2" spans="1:23" s="6" customFormat="1" ht="21">
      <c r="A2" s="294" t="s">
        <v>1930</v>
      </c>
      <c r="C2" s="19"/>
      <c r="D2" s="13"/>
      <c r="E2" s="13"/>
      <c r="F2" s="13"/>
      <c r="G2" s="13"/>
      <c r="W2" s="272" t="s">
        <v>1979</v>
      </c>
    </row>
    <row r="3" spans="1:23" s="6" customFormat="1" ht="12.75" customHeight="1">
      <c r="A3" s="16"/>
      <c r="B3" s="16"/>
      <c r="C3" s="16"/>
      <c r="W3" s="272" t="s">
        <v>1980</v>
      </c>
    </row>
    <row r="4" spans="1:23" s="6" customFormat="1" ht="26">
      <c r="A4" s="9" t="s">
        <v>2029</v>
      </c>
      <c r="B4" s="9" t="s">
        <v>2027</v>
      </c>
      <c r="C4" s="9" t="s">
        <v>2059</v>
      </c>
      <c r="D4" s="17" t="s">
        <v>21</v>
      </c>
      <c r="E4" s="9" t="s">
        <v>54</v>
      </c>
      <c r="F4" s="9" t="s">
        <v>55</v>
      </c>
      <c r="G4" s="9" t="s">
        <v>3</v>
      </c>
      <c r="H4" s="434" t="s">
        <v>5</v>
      </c>
      <c r="I4" s="430" t="s">
        <v>2251</v>
      </c>
      <c r="J4" s="430" t="s">
        <v>2252</v>
      </c>
      <c r="R4" s="1010" t="s">
        <v>2474</v>
      </c>
      <c r="S4" s="1011"/>
      <c r="W4" s="272"/>
    </row>
    <row r="5" spans="1:23" s="6" customFormat="1" ht="16.5" customHeight="1">
      <c r="A5" s="489"/>
      <c r="B5" s="270"/>
      <c r="C5" s="8"/>
      <c r="D5" s="490"/>
      <c r="E5" s="277"/>
      <c r="F5" s="277"/>
      <c r="G5" s="2">
        <f>(E5*F5)*D5</f>
        <v>0</v>
      </c>
      <c r="H5" s="534">
        <v>0</v>
      </c>
      <c r="I5" s="2">
        <f>G5+H5</f>
        <v>0</v>
      </c>
      <c r="J5" s="2">
        <f>'Set-up and other costs'!$B$18*I5</f>
        <v>0</v>
      </c>
      <c r="M5" s="6" t="str">
        <f>'Look Up'!$A$16&amp;Pathology!C5</f>
        <v>Pathology</v>
      </c>
      <c r="R5" s="1010" t="s">
        <v>2475</v>
      </c>
      <c r="S5" s="1011"/>
      <c r="W5" s="272"/>
    </row>
    <row r="6" spans="1:23" s="6" customFormat="1" ht="16.5" customHeight="1">
      <c r="A6" s="489"/>
      <c r="B6" s="270"/>
      <c r="C6" s="8"/>
      <c r="D6" s="490"/>
      <c r="E6" s="277"/>
      <c r="F6" s="277"/>
      <c r="G6" s="2">
        <f>(E6*F6)*D6</f>
        <v>0</v>
      </c>
      <c r="H6" s="534">
        <v>0</v>
      </c>
      <c r="I6" s="2">
        <f>G6+H6</f>
        <v>0</v>
      </c>
      <c r="J6" s="2">
        <f>'Set-up and other costs'!$B$18*I6</f>
        <v>0</v>
      </c>
      <c r="M6" s="6" t="str">
        <f>'Look Up'!$A$16&amp;Pathology!C6</f>
        <v>Pathology</v>
      </c>
      <c r="R6" s="1010" t="s">
        <v>2000</v>
      </c>
      <c r="S6" s="1011"/>
      <c r="W6" s="272"/>
    </row>
    <row r="7" spans="1:23" s="6" customFormat="1" ht="16.5" customHeight="1">
      <c r="A7" s="489"/>
      <c r="B7" s="270"/>
      <c r="C7" s="8"/>
      <c r="D7" s="490"/>
      <c r="E7" s="277"/>
      <c r="F7" s="277"/>
      <c r="G7" s="2">
        <f>(E7*F7)*D7</f>
        <v>0</v>
      </c>
      <c r="H7" s="534">
        <v>0</v>
      </c>
      <c r="I7" s="2">
        <f>G7+H7</f>
        <v>0</v>
      </c>
      <c r="J7" s="2">
        <f>'Set-up and other costs'!$B$18*I7</f>
        <v>0</v>
      </c>
      <c r="M7" s="6" t="str">
        <f>'Look Up'!$A$16&amp;Pathology!C7</f>
        <v>Pathology</v>
      </c>
      <c r="W7" s="272"/>
    </row>
    <row r="8" spans="1:23" s="6" customFormat="1" ht="16.5" customHeight="1">
      <c r="A8" s="489"/>
      <c r="B8" s="270"/>
      <c r="C8" s="8"/>
      <c r="D8" s="490"/>
      <c r="E8" s="277"/>
      <c r="F8" s="277"/>
      <c r="G8" s="2">
        <f>(E8*F8)*D8</f>
        <v>0</v>
      </c>
      <c r="H8" s="534">
        <v>0</v>
      </c>
      <c r="I8" s="2">
        <f>G8+H8</f>
        <v>0</v>
      </c>
      <c r="J8" s="2">
        <f>'Set-up and other costs'!$B$18*I8</f>
        <v>0</v>
      </c>
      <c r="M8" s="6" t="str">
        <f>'Look Up'!$A$16&amp;Pathology!C8</f>
        <v>Pathology</v>
      </c>
      <c r="W8" s="272"/>
    </row>
    <row r="9" spans="1:23" s="6" customFormat="1" ht="16.5" customHeight="1">
      <c r="A9" s="489"/>
      <c r="B9" s="270"/>
      <c r="C9" s="8"/>
      <c r="D9" s="490"/>
      <c r="E9" s="277"/>
      <c r="F9" s="277"/>
      <c r="G9" s="2">
        <f>(E9*F9)*D9</f>
        <v>0</v>
      </c>
      <c r="H9" s="534">
        <v>0</v>
      </c>
      <c r="I9" s="2">
        <f>G9+H9</f>
        <v>0</v>
      </c>
      <c r="J9" s="2">
        <f>'Set-up and other costs'!$B$18*I9</f>
        <v>0</v>
      </c>
      <c r="M9" s="6" t="str">
        <f>'Look Up'!$A$16&amp;Pathology!C9</f>
        <v>Pathology</v>
      </c>
      <c r="W9" s="272"/>
    </row>
    <row r="10" spans="1:23" s="6" customFormat="1" ht="16.5" customHeight="1">
      <c r="A10" s="489"/>
      <c r="B10" s="270"/>
      <c r="C10" s="8"/>
      <c r="D10" s="490"/>
      <c r="E10" s="277"/>
      <c r="F10" s="277"/>
      <c r="G10" s="2">
        <f>(E10*F10)*D10</f>
        <v>0</v>
      </c>
      <c r="H10" s="534">
        <v>0</v>
      </c>
      <c r="I10" s="2">
        <f>G10+H10</f>
        <v>0</v>
      </c>
      <c r="J10" s="2">
        <f>'Set-up and other costs'!$B$18*I10</f>
        <v>0</v>
      </c>
      <c r="M10" s="6" t="str">
        <f>'Look Up'!$A$16&amp;Pathology!C10</f>
        <v>Pathology</v>
      </c>
      <c r="W10" s="272"/>
    </row>
    <row r="11" spans="1:23" s="6" customFormat="1" ht="16.5" customHeight="1">
      <c r="A11" s="489"/>
      <c r="B11" s="270"/>
      <c r="C11" s="8"/>
      <c r="D11" s="490"/>
      <c r="E11" s="277"/>
      <c r="F11" s="277"/>
      <c r="G11" s="2">
        <f>(E11*F11)*D11</f>
        <v>0</v>
      </c>
      <c r="H11" s="534">
        <v>0</v>
      </c>
      <c r="I11" s="2">
        <f>G11+H11</f>
        <v>0</v>
      </c>
      <c r="J11" s="2">
        <f>'Set-up and other costs'!$B$18*I11</f>
        <v>0</v>
      </c>
      <c r="M11" s="6" t="str">
        <f>'Look Up'!$A$16&amp;Pathology!C11</f>
        <v>Pathology</v>
      </c>
      <c r="W11" s="272"/>
    </row>
    <row r="12" spans="1:23" s="6" customFormat="1" ht="16.5" customHeight="1">
      <c r="A12" s="489"/>
      <c r="B12" s="270"/>
      <c r="C12" s="8"/>
      <c r="D12" s="490"/>
      <c r="E12" s="277"/>
      <c r="F12" s="277"/>
      <c r="G12" s="2">
        <f>(E12*F12)*D12</f>
        <v>0</v>
      </c>
      <c r="H12" s="534">
        <v>0</v>
      </c>
      <c r="I12" s="2">
        <f>G12+H12</f>
        <v>0</v>
      </c>
      <c r="J12" s="2">
        <f>'Set-up and other costs'!$B$18*I12</f>
        <v>0</v>
      </c>
      <c r="M12" s="6" t="str">
        <f>'Look Up'!$A$16&amp;Pathology!C12</f>
        <v>Pathology</v>
      </c>
      <c r="W12" s="272"/>
    </row>
    <row r="13" spans="1:23" s="6" customFormat="1" ht="16.5" customHeight="1">
      <c r="A13" s="489"/>
      <c r="B13" s="270"/>
      <c r="C13" s="8"/>
      <c r="D13" s="490"/>
      <c r="E13" s="277"/>
      <c r="F13" s="277"/>
      <c r="G13" s="2">
        <f>(E13*F13)*D13</f>
        <v>0</v>
      </c>
      <c r="H13" s="534">
        <v>0</v>
      </c>
      <c r="I13" s="2">
        <f>G13+H13</f>
        <v>0</v>
      </c>
      <c r="J13" s="2">
        <f>'Set-up and other costs'!$B$18*I13</f>
        <v>0</v>
      </c>
      <c r="M13" s="6" t="str">
        <f>'Look Up'!$A$16&amp;Pathology!C13</f>
        <v>Pathology</v>
      </c>
      <c r="W13" s="272"/>
    </row>
    <row r="14" spans="1:23" s="6" customFormat="1" ht="16.5" customHeight="1">
      <c r="A14" s="489"/>
      <c r="B14" s="270"/>
      <c r="C14" s="8"/>
      <c r="D14" s="490"/>
      <c r="E14" s="277"/>
      <c r="F14" s="277"/>
      <c r="G14" s="2">
        <f>(E14*F14)*D14</f>
        <v>0</v>
      </c>
      <c r="H14" s="534">
        <v>0</v>
      </c>
      <c r="I14" s="2">
        <f>G14+H14</f>
        <v>0</v>
      </c>
      <c r="J14" s="2">
        <f>'Set-up and other costs'!$B$18*I14</f>
        <v>0</v>
      </c>
      <c r="M14" s="6" t="str">
        <f>'Look Up'!$A$16&amp;Pathology!C14</f>
        <v>Pathology</v>
      </c>
      <c r="W14" s="272"/>
    </row>
    <row r="15" spans="1:23" s="6" customFormat="1" ht="16.5" customHeight="1">
      <c r="A15" s="489"/>
      <c r="B15" s="270"/>
      <c r="C15" s="8"/>
      <c r="D15" s="490"/>
      <c r="E15" s="277"/>
      <c r="F15" s="277"/>
      <c r="G15" s="2">
        <f>(E15*F15)*D15</f>
        <v>0</v>
      </c>
      <c r="H15" s="534">
        <v>0</v>
      </c>
      <c r="I15" s="2">
        <f>G15+H15</f>
        <v>0</v>
      </c>
      <c r="J15" s="2">
        <f>'Set-up and other costs'!$B$18*I15</f>
        <v>0</v>
      </c>
      <c r="K15" s="12"/>
      <c r="L15" s="12"/>
      <c r="M15" s="6" t="str">
        <f>'Look Up'!$A$16&amp;Pathology!C15</f>
        <v>Pathology</v>
      </c>
      <c r="N15" s="12"/>
      <c r="O15" s="12"/>
      <c r="P15" s="12"/>
      <c r="Q15" s="12"/>
      <c r="R15" s="37"/>
      <c r="S15" s="37"/>
      <c r="T15" s="37"/>
      <c r="U15" s="15"/>
      <c r="W15" s="272"/>
    </row>
    <row r="16" spans="1:23" s="6" customFormat="1" ht="16.5" customHeight="1">
      <c r="A16" s="489"/>
      <c r="B16" s="270"/>
      <c r="C16" s="8"/>
      <c r="D16" s="490"/>
      <c r="E16" s="277"/>
      <c r="F16" s="277"/>
      <c r="G16" s="2">
        <v>0</v>
      </c>
      <c r="H16" s="534">
        <v>0</v>
      </c>
      <c r="I16" s="2">
        <f>G16+H16</f>
        <v>0</v>
      </c>
      <c r="J16" s="2">
        <f>'Set-up and other costs'!$B$18*I16</f>
        <v>0</v>
      </c>
      <c r="K16" s="12"/>
      <c r="L16" s="12"/>
      <c r="M16" s="6" t="str">
        <f>'Look Up'!$A$16&amp;Pathology!C16</f>
        <v>Pathology</v>
      </c>
      <c r="N16" s="12"/>
      <c r="O16" s="12"/>
      <c r="P16" s="12"/>
      <c r="Q16" s="12"/>
      <c r="R16" s="12"/>
      <c r="S16" s="37"/>
      <c r="T16" s="37"/>
      <c r="U16" s="37"/>
      <c r="W16" s="272"/>
    </row>
    <row r="17" spans="5:23" s="6" customFormat="1" ht="13">
      <c r="E17" s="49">
        <f>SUM(E5:E16)</f>
        <v>0</v>
      </c>
      <c r="F17" s="49">
        <f>SUM(F5:F16)</f>
        <v>0</v>
      </c>
      <c r="G17" s="291">
        <f>SUM(G5:G16)</f>
        <v>0</v>
      </c>
      <c r="H17" s="535">
        <f>SUM(H5:H16)</f>
        <v>0</v>
      </c>
      <c r="I17" s="2">
        <f>SUM(I5:I16)</f>
        <v>0</v>
      </c>
      <c r="J17" s="2">
        <f>'Set-up and other costs'!$B$18*I17</f>
        <v>0</v>
      </c>
      <c r="L17" s="12"/>
      <c r="W17" s="272"/>
    </row>
    <row r="18" spans="8:23" s="6" customFormat="1" ht="13">
      <c r="H18" s="36"/>
      <c r="I18" s="36"/>
      <c r="J18" s="36"/>
      <c r="K18" s="36"/>
      <c r="L18" s="12"/>
      <c r="M18" s="36"/>
      <c r="N18" s="36"/>
      <c r="O18" s="36"/>
      <c r="P18" s="36"/>
      <c r="Q18" s="36"/>
      <c r="R18" s="36"/>
      <c r="S18" s="36"/>
      <c r="T18" s="36"/>
      <c r="U18" s="37"/>
      <c r="V18" s="37"/>
      <c r="W18" s="273"/>
    </row>
    <row r="19" spans="1:23" s="5" customFormat="1" ht="15.5">
      <c r="A19" s="21" t="s">
        <v>31</v>
      </c>
      <c r="B19" s="21"/>
      <c r="C19" s="21"/>
      <c r="L19" s="36"/>
      <c r="W19" s="274"/>
    </row>
    <row r="21" spans="1:23" s="5" customFormat="1" ht="52">
      <c r="A21" s="9" t="s">
        <v>2028</v>
      </c>
      <c r="B21" s="9" t="s">
        <v>2027</v>
      </c>
      <c r="C21" s="9" t="s">
        <v>2059</v>
      </c>
      <c r="D21" s="9" t="s">
        <v>25</v>
      </c>
      <c r="E21" s="9" t="s">
        <v>27</v>
      </c>
      <c r="F21" s="9" t="s">
        <v>28</v>
      </c>
      <c r="G21" s="430" t="s">
        <v>2251</v>
      </c>
      <c r="J21" s="430" t="s">
        <v>2252</v>
      </c>
      <c r="W21" s="274"/>
    </row>
    <row r="22" spans="1:23" s="5" customFormat="1" ht="13">
      <c r="A22" s="310"/>
      <c r="B22" s="270"/>
      <c r="C22" s="8"/>
      <c r="D22" s="308"/>
      <c r="E22" s="3"/>
      <c r="F22" s="483"/>
      <c r="G22" s="542">
        <f>F22*E22*D22</f>
        <v>0</v>
      </c>
      <c r="J22" s="2">
        <f>'Set-up and other costs'!$B$18*G22</f>
        <v>0</v>
      </c>
      <c r="L22"/>
      <c r="M22" s="6" t="str">
        <f>'Look Up'!$A$16&amp;Pathology!C22</f>
        <v>Pathology</v>
      </c>
      <c r="W22" s="274"/>
    </row>
    <row r="23" spans="1:23" s="5" customFormat="1" ht="13">
      <c r="A23" s="310"/>
      <c r="B23" s="270"/>
      <c r="C23" s="8"/>
      <c r="D23" s="308"/>
      <c r="E23" s="3"/>
      <c r="F23" s="483"/>
      <c r="G23" s="542">
        <f>F23*E23*D23</f>
        <v>0</v>
      </c>
      <c r="J23" s="2">
        <f>'Set-up and other costs'!$B$18*G23</f>
        <v>0</v>
      </c>
      <c r="M23" s="6" t="str">
        <f>'Look Up'!$A$16&amp;Pathology!C23</f>
        <v>Pathology</v>
      </c>
      <c r="W23" s="274"/>
    </row>
    <row r="24" spans="1:23" s="5" customFormat="1" ht="13">
      <c r="A24" s="310"/>
      <c r="B24" s="270"/>
      <c r="C24" s="8"/>
      <c r="D24" s="308"/>
      <c r="E24" s="3"/>
      <c r="F24" s="483"/>
      <c r="G24" s="542">
        <f>F24*E24*D24</f>
        <v>0</v>
      </c>
      <c r="J24" s="2">
        <f>'Set-up and other costs'!$B$18*G24</f>
        <v>0</v>
      </c>
      <c r="M24" s="6" t="str">
        <f>'Look Up'!$A$16&amp;Pathology!C24</f>
        <v>Pathology</v>
      </c>
      <c r="W24" s="274"/>
    </row>
    <row r="25" spans="1:23" s="5" customFormat="1" ht="13">
      <c r="A25" s="310"/>
      <c r="B25" s="270"/>
      <c r="C25" s="8"/>
      <c r="D25" s="308"/>
      <c r="E25" s="3"/>
      <c r="F25" s="483"/>
      <c r="G25" s="542">
        <f>F25*E25*D25</f>
        <v>0</v>
      </c>
      <c r="J25" s="2">
        <f>'Set-up and other costs'!$B$18*G25</f>
        <v>0</v>
      </c>
      <c r="M25" s="6" t="str">
        <f>'Look Up'!$A$16&amp;Pathology!C25</f>
        <v>Pathology</v>
      </c>
      <c r="W25" s="274"/>
    </row>
    <row r="26" spans="1:23" s="5" customFormat="1" ht="13">
      <c r="A26" s="310"/>
      <c r="B26" s="270"/>
      <c r="C26" s="8"/>
      <c r="D26" s="308"/>
      <c r="E26" s="3"/>
      <c r="F26" s="483"/>
      <c r="G26" s="542">
        <f>F26*E26*D26</f>
        <v>0</v>
      </c>
      <c r="J26" s="2">
        <f>'Set-up and other costs'!$B$18*G26</f>
        <v>0</v>
      </c>
      <c r="M26" s="6" t="str">
        <f>'Look Up'!$A$16&amp;Pathology!C26</f>
        <v>Pathology</v>
      </c>
      <c r="W26" s="274"/>
    </row>
    <row r="27" spans="1:23" s="5" customFormat="1" ht="13">
      <c r="A27" s="278"/>
      <c r="B27" s="270"/>
      <c r="C27" s="8"/>
      <c r="D27" s="290"/>
      <c r="E27" s="3"/>
      <c r="F27" s="483"/>
      <c r="G27" s="542">
        <f>F27*E27*D27</f>
        <v>0</v>
      </c>
      <c r="J27" s="2">
        <f>'Set-up and other costs'!$B$18*G27</f>
        <v>0</v>
      </c>
      <c r="M27" s="6" t="str">
        <f>'Look Up'!$A$16&amp;Pathology!C27</f>
        <v>Pathology</v>
      </c>
      <c r="W27" s="274"/>
    </row>
    <row r="28" spans="1:23" s="5" customFormat="1" ht="13">
      <c r="A28" s="278"/>
      <c r="B28" s="270"/>
      <c r="C28" s="8"/>
      <c r="D28" s="290"/>
      <c r="E28" s="3"/>
      <c r="F28" s="483"/>
      <c r="G28" s="542">
        <f>F28*E28*D28</f>
        <v>0</v>
      </c>
      <c r="J28" s="2">
        <f>'Set-up and other costs'!$B$18*G28</f>
        <v>0</v>
      </c>
      <c r="M28" s="6" t="str">
        <f>'Look Up'!$A$16&amp;Pathology!C28</f>
        <v>Pathology</v>
      </c>
      <c r="W28" s="274"/>
    </row>
    <row r="29" spans="1:23" s="5" customFormat="1" ht="13">
      <c r="A29" s="278"/>
      <c r="B29" s="270"/>
      <c r="C29" s="8"/>
      <c r="D29" s="290"/>
      <c r="E29" s="3"/>
      <c r="F29" s="483"/>
      <c r="G29" s="542">
        <f>F29*E29*D29</f>
        <v>0</v>
      </c>
      <c r="J29" s="2">
        <f>'Set-up and other costs'!$B$18*G29</f>
        <v>0</v>
      </c>
      <c r="L29"/>
      <c r="M29" s="6" t="str">
        <f>'Look Up'!$A$16&amp;Pathology!C29</f>
        <v>Pathology</v>
      </c>
      <c r="W29" s="274"/>
    </row>
    <row r="30" spans="1:23" s="5" customFormat="1" ht="13">
      <c r="A30" s="278"/>
      <c r="B30" s="270"/>
      <c r="C30" s="8"/>
      <c r="D30" s="290"/>
      <c r="E30" s="3"/>
      <c r="F30" s="483"/>
      <c r="G30" s="542">
        <f>F30*E30*D30</f>
        <v>0</v>
      </c>
      <c r="J30" s="2">
        <f>'Set-up and other costs'!$B$18*G30</f>
        <v>0</v>
      </c>
      <c r="M30" s="6" t="str">
        <f>'Look Up'!$A$16&amp;Pathology!C30</f>
        <v>Pathology</v>
      </c>
      <c r="W30" s="274"/>
    </row>
    <row r="31" spans="1:23" s="5" customFormat="1" ht="18.75" customHeight="1">
      <c r="A31" s="23" t="s">
        <v>34</v>
      </c>
      <c r="B31" s="23"/>
      <c r="C31" s="23"/>
      <c r="G31" s="481">
        <f>SUM(G22:G30)</f>
        <v>0</v>
      </c>
      <c r="J31" s="2">
        <f>'Set-up and other costs'!$B$18*G31</f>
        <v>0</v>
      </c>
      <c r="W31" s="274"/>
    </row>
    <row r="32" spans="12:12">
      <c r="L32" s="5"/>
    </row>
    <row r="33" spans="1:23" ht="12.5">
      <c r="A33" t="s">
        <v>50</v>
      </c>
      <c r="G33" s="239"/>
      <c r="W33"/>
    </row>
  </sheetData>
  <sheetProtection algorithmName="SHA-512" hashValue="C8k6C13f9FtXOw9tzHeDt+ID5U34M9iO+kLHJ1XalloCoyLjSGKFZ4AgrPAdU+vQN5JT5WRhbFOkZQdRBWKHgw==" saltValue="0/6Ycbrp0ZqUv1VS5SuErw==" spinCount="100000" sheet="1" objects="1" scenarios="1"/>
  <dataValidations count="6">
    <dataValidation type="list" allowBlank="1" showInputMessage="1" showErrorMessage="1" sqref="B31:B32 B17:B18">
      <formula1>$W$2:$W$3</formula1>
    </dataValidation>
    <dataValidation type="whole" operator="greaterThan" allowBlank="1" showInputMessage="1" showErrorMessage="1" sqref="N16:R16 N15:Q15 E5:F18 K15:L18 G17:H17">
      <formula1>0</formula1>
    </dataValidation>
    <dataValidation type="list" allowBlank="1" showInputMessage="1" sqref="A22:A26">
      <formula1>CostList</formula1>
    </dataValidation>
    <dataValidation type="list" allowBlank="1" showInputMessage="1" showErrorMessage="1" sqref="C5:C16 C22:C30">
      <formula1>AcCord</formula1>
    </dataValidation>
    <dataValidation type="list" allowBlank="1" showInputMessage="1" showErrorMessage="1" sqref="C5:C16">
      <formula1>'Look Up'!A5:A9</formula1>
    </dataValidation>
    <dataValidation type="list" allowBlank="1" showInputMessage="1" showErrorMessage="1" sqref="C22:C30">
      <formula1>'Look Up'!A22:A28</formula1>
    </dataValidation>
  </dataValidations>
  <pageMargins left="0.7" right="0.7" top="0.75" bottom="0.75" header="0.3" footer="0.3"/>
  <pageSetup paperSize="9" orientation="portrait"/>
  <headerFooter scaleWithDoc="1" alignWithMargins="0" differentFirst="0" differentOddEven="0"/>
  <extLst/>
</worksheet>
</file>

<file path=xl/worksheets/sheet1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7"/>
  <dimension ref="A1:W49"/>
  <sheetViews>
    <sheetView topLeftCell="K1" zoomScale="60" view="normal" workbookViewId="0">
      <selection pane="topLeft" activeCell="S18" sqref="S18"/>
    </sheetView>
  </sheetViews>
  <sheetFormatPr defaultRowHeight="14.5"/>
  <cols>
    <col min="1" max="1" width="43.140625" customWidth="1"/>
    <col min="2" max="2" width="43.140625" hidden="1" customWidth="1"/>
    <col min="3" max="3" width="30.140625" customWidth="1"/>
    <col min="4" max="4" width="14.7109375" customWidth="1"/>
    <col min="5" max="5" width="11.140625" customWidth="1"/>
    <col min="6" max="6" width="35" customWidth="1"/>
    <col min="7" max="7" width="19.27734375" hidden="1" customWidth="1"/>
    <col min="8" max="8" width="10.41796875" customWidth="1"/>
    <col min="9" max="9" width="10.41796875" hidden="1" customWidth="1"/>
    <col min="10" max="10" width="14.27734375" customWidth="1"/>
    <col min="11" max="11" width="6.41796875" customWidth="1"/>
    <col min="12" max="12" width="6.41796875" hidden="1" customWidth="1"/>
    <col min="13" max="13" width="7.5703125" hidden="1" customWidth="1"/>
    <col min="14" max="16" width="6.41796875" customWidth="1"/>
    <col min="17" max="17" width="7.5703125" customWidth="1"/>
    <col min="18" max="18" width="17" customWidth="1"/>
    <col min="19" max="19" width="37.41796875" customWidth="1"/>
    <col min="20" max="20" width="9.41796875" customWidth="1"/>
    <col min="23" max="23" width="9.140625" style="271" customWidth="1"/>
  </cols>
  <sheetData>
    <row r="1" spans="1:12">
      <c r="A1"/>
      <c r="C1" s="263"/>
      <c r="D1"/>
      <c r="E1"/>
      <c r="F1"/>
      <c r="G1"/>
      <c r="H1"/>
      <c r="J1"/>
      <c r="K1"/>
      <c r="L1"/>
    </row>
    <row r="2" spans="1:23" s="6" customFormat="1" ht="15.5">
      <c r="A2" s="19" t="s">
        <v>33</v>
      </c>
      <c r="B2" s="19"/>
      <c r="C2" s="19"/>
      <c r="D2" s="13"/>
      <c r="E2" s="13"/>
      <c r="F2" s="13"/>
      <c r="G2" s="13"/>
      <c r="W2" s="272" t="s">
        <v>1979</v>
      </c>
    </row>
    <row r="3" spans="1:23" s="6" customFormat="1" ht="12.75" customHeight="1">
      <c r="A3" s="16"/>
      <c r="B3" s="16"/>
      <c r="C3" s="16"/>
      <c r="W3" s="272" t="s">
        <v>1980</v>
      </c>
    </row>
    <row r="4" spans="1:23" s="6" customFormat="1" ht="26">
      <c r="A4" s="9" t="s">
        <v>0</v>
      </c>
      <c r="B4" s="9"/>
      <c r="C4" s="9" t="s">
        <v>2059</v>
      </c>
      <c r="D4" s="17" t="s">
        <v>21</v>
      </c>
      <c r="E4" s="9" t="s">
        <v>54</v>
      </c>
      <c r="F4" s="9" t="s">
        <v>55</v>
      </c>
      <c r="G4" s="9" t="s">
        <v>3</v>
      </c>
      <c r="H4" s="9" t="s">
        <v>5</v>
      </c>
      <c r="I4" s="430" t="s">
        <v>2251</v>
      </c>
      <c r="J4" s="430" t="s">
        <v>2252</v>
      </c>
      <c r="R4" s="1010" t="s">
        <v>2474</v>
      </c>
      <c r="S4" s="1011"/>
      <c r="W4" s="272"/>
    </row>
    <row r="5" spans="1:23" s="6" customFormat="1" ht="16.5" customHeight="1">
      <c r="A5" s="489"/>
      <c r="B5" s="270"/>
      <c r="C5" s="8"/>
      <c r="D5" s="695"/>
      <c r="E5" s="277"/>
      <c r="F5" s="277"/>
      <c r="G5" s="2">
        <f>(E5*F5)*D5</f>
        <v>0</v>
      </c>
      <c r="H5" s="534">
        <f>IF('Study Information &amp; rates'!$B$44="Yes",G5*28.7%,0)</f>
        <v>0</v>
      </c>
      <c r="I5" s="2">
        <f>G5+H5</f>
        <v>0</v>
      </c>
      <c r="J5" s="2">
        <f>IF('Study Information &amp; rates'!B45="No",Pharmacy!I5,'Set-up and other costs'!$B$18*Pharmacy!I5)</f>
        <v>0</v>
      </c>
      <c r="M5" s="6" t="str">
        <f>'Look Up'!$A$11&amp;Pharmacy!C5</f>
        <v>Pharmacy</v>
      </c>
      <c r="R5" s="1010" t="s">
        <v>2475</v>
      </c>
      <c r="S5" s="1011"/>
      <c r="W5" s="272"/>
    </row>
    <row r="6" spans="1:23" s="6" customFormat="1" ht="16.5" customHeight="1">
      <c r="A6" s="489"/>
      <c r="B6" s="270"/>
      <c r="C6" s="8"/>
      <c r="D6" s="695"/>
      <c r="E6" s="277"/>
      <c r="F6" s="277"/>
      <c r="G6" s="2">
        <f>(E6*F6)*D6</f>
        <v>0</v>
      </c>
      <c r="H6" s="534">
        <f>IF('Study Information &amp; rates'!$B$44="Yes",G6*28.7%,0)</f>
        <v>0</v>
      </c>
      <c r="I6" s="2">
        <f>G6+H6</f>
        <v>0</v>
      </c>
      <c r="J6" s="2">
        <f>'Set-up and other costs'!$B$18*Pharmacy!I6</f>
        <v>0</v>
      </c>
      <c r="M6" s="6" t="str">
        <f>'Look Up'!$A$11&amp;Pharmacy!C6</f>
        <v>Pharmacy</v>
      </c>
      <c r="R6" s="1010" t="s">
        <v>2000</v>
      </c>
      <c r="S6" s="1011"/>
      <c r="W6" s="272"/>
    </row>
    <row r="7" spans="1:23" s="6" customFormat="1" ht="16.5" customHeight="1">
      <c r="A7" s="489"/>
      <c r="B7" s="270"/>
      <c r="C7" s="8"/>
      <c r="D7" s="695"/>
      <c r="E7" s="277"/>
      <c r="F7" s="277"/>
      <c r="G7" s="2">
        <f>(E7*F7)*D7</f>
        <v>0</v>
      </c>
      <c r="H7" s="534">
        <f>IF('Study Information &amp; rates'!$B$44="Yes",G7*28.7%,0)</f>
        <v>0</v>
      </c>
      <c r="I7" s="2">
        <f>G7+H7</f>
        <v>0</v>
      </c>
      <c r="J7" s="2">
        <f>'Set-up and other costs'!$B$18*Pharmacy!I7</f>
        <v>0</v>
      </c>
      <c r="M7" s="6" t="str">
        <f>'Look Up'!$A$11&amp;Pharmacy!C7</f>
        <v>Pharmacy</v>
      </c>
      <c r="W7" s="272"/>
    </row>
    <row r="8" spans="1:23" s="6" customFormat="1" ht="16.5" customHeight="1">
      <c r="A8" s="489"/>
      <c r="B8" s="270"/>
      <c r="C8" s="8"/>
      <c r="D8" s="695"/>
      <c r="E8" s="277"/>
      <c r="F8" s="277"/>
      <c r="G8" s="2">
        <f>(E8*F8)*D8</f>
        <v>0</v>
      </c>
      <c r="H8" s="534">
        <f>IF('Study Information &amp; rates'!$B$44="Yes",G8*28.7%,0)</f>
        <v>0</v>
      </c>
      <c r="I8" s="2">
        <f>G8+H8</f>
        <v>0</v>
      </c>
      <c r="J8" s="2">
        <f>'Set-up and other costs'!$B$18*Pharmacy!I8</f>
        <v>0</v>
      </c>
      <c r="M8" s="6" t="str">
        <f>'Look Up'!$A$11&amp;Pharmacy!C8</f>
        <v>Pharmacy</v>
      </c>
      <c r="W8" s="272"/>
    </row>
    <row r="9" spans="1:23" s="6" customFormat="1" ht="16.5" customHeight="1">
      <c r="A9" s="489"/>
      <c r="B9" s="270"/>
      <c r="C9" s="8"/>
      <c r="D9" s="695"/>
      <c r="E9" s="277"/>
      <c r="F9" s="277"/>
      <c r="G9" s="2">
        <f>(E9*F9)*D9</f>
        <v>0</v>
      </c>
      <c r="H9" s="534">
        <f>IF('Study Information &amp; rates'!$B$44="Yes",G9*28.7%,0)</f>
        <v>0</v>
      </c>
      <c r="I9" s="2">
        <f>G9+H9</f>
        <v>0</v>
      </c>
      <c r="J9" s="2">
        <f>'Set-up and other costs'!$B$18*Pharmacy!I9</f>
        <v>0</v>
      </c>
      <c r="M9" s="6" t="str">
        <f>'Look Up'!$A$11&amp;Pharmacy!C9</f>
        <v>Pharmacy</v>
      </c>
      <c r="W9" s="272"/>
    </row>
    <row r="10" spans="1:23" s="6" customFormat="1" ht="16.5" customHeight="1">
      <c r="A10" s="489"/>
      <c r="B10" s="270"/>
      <c r="C10" s="8"/>
      <c r="D10" s="695"/>
      <c r="E10" s="277"/>
      <c r="F10" s="277"/>
      <c r="G10" s="2">
        <f>(E10*F10)*D10</f>
        <v>0</v>
      </c>
      <c r="H10" s="534">
        <f>IF('Study Information &amp; rates'!$B$44="Yes",G10*28.7%,0)</f>
        <v>0</v>
      </c>
      <c r="I10" s="2">
        <f>G10+H10</f>
        <v>0</v>
      </c>
      <c r="J10" s="2">
        <f>'Set-up and other costs'!$B$18*Pharmacy!I10</f>
        <v>0</v>
      </c>
      <c r="M10" s="6" t="str">
        <f>'Look Up'!$A$11&amp;Pharmacy!C10</f>
        <v>Pharmacy</v>
      </c>
      <c r="W10" s="272"/>
    </row>
    <row r="11" spans="1:23" s="6" customFormat="1" ht="16.5" customHeight="1">
      <c r="A11" s="489"/>
      <c r="B11" s="270"/>
      <c r="C11" s="8"/>
      <c r="D11" s="695"/>
      <c r="E11" s="277"/>
      <c r="F11" s="277"/>
      <c r="G11" s="2">
        <f>(E11*F11)*D11</f>
        <v>0</v>
      </c>
      <c r="H11" s="534">
        <f>IF('Study Information &amp; rates'!$B$44="Yes",G11*28.7%,0)</f>
        <v>0</v>
      </c>
      <c r="I11" s="2">
        <f>G11+H11</f>
        <v>0</v>
      </c>
      <c r="J11" s="2">
        <f>'Set-up and other costs'!$B$18*Pharmacy!I11</f>
        <v>0</v>
      </c>
      <c r="M11" s="6" t="str">
        <f>'Look Up'!$A$11&amp;Pharmacy!C11</f>
        <v>Pharmacy</v>
      </c>
      <c r="W11" s="272"/>
    </row>
    <row r="12" spans="1:23" s="6" customFormat="1" ht="16.5" customHeight="1">
      <c r="A12" s="489"/>
      <c r="B12" s="270"/>
      <c r="C12" s="8"/>
      <c r="D12" s="695"/>
      <c r="E12" s="277"/>
      <c r="F12" s="277"/>
      <c r="G12" s="2">
        <f>(E12*F12)*D12</f>
        <v>0</v>
      </c>
      <c r="H12" s="534">
        <f>IF('Study Information &amp; rates'!$B$44="Yes",G12*28.7%,0)</f>
        <v>0</v>
      </c>
      <c r="I12" s="2">
        <f>G12+H12</f>
        <v>0</v>
      </c>
      <c r="J12" s="2">
        <f>'Set-up and other costs'!$B$18*Pharmacy!I12</f>
        <v>0</v>
      </c>
      <c r="M12" s="6" t="str">
        <f>'Look Up'!$A$11&amp;Pharmacy!C12</f>
        <v>Pharmacy</v>
      </c>
      <c r="W12" s="272"/>
    </row>
    <row r="13" spans="1:23" s="6" customFormat="1" ht="16.5" customHeight="1">
      <c r="A13" s="489"/>
      <c r="B13" s="270"/>
      <c r="C13" s="8"/>
      <c r="D13" s="695"/>
      <c r="E13" s="277"/>
      <c r="F13" s="277"/>
      <c r="G13" s="2">
        <f>(E13*F13)*D13</f>
        <v>0</v>
      </c>
      <c r="H13" s="534">
        <f>IF('Study Information &amp; rates'!$B$44="Yes",G13*28.7%,0)</f>
        <v>0</v>
      </c>
      <c r="I13" s="2">
        <f>G13+H13</f>
        <v>0</v>
      </c>
      <c r="J13" s="2">
        <f>'Set-up and other costs'!$B$18*Pharmacy!I13</f>
        <v>0</v>
      </c>
      <c r="M13" s="6" t="str">
        <f>'Look Up'!$A$11&amp;Pharmacy!C13</f>
        <v>Pharmacy</v>
      </c>
      <c r="W13" s="272"/>
    </row>
    <row r="14" spans="1:23" s="6" customFormat="1" ht="16.5" customHeight="1">
      <c r="A14" s="489"/>
      <c r="B14" s="270"/>
      <c r="C14" s="8"/>
      <c r="D14" s="695"/>
      <c r="E14" s="277"/>
      <c r="F14" s="277"/>
      <c r="G14" s="2">
        <f>(E14*F14)*D14</f>
        <v>0</v>
      </c>
      <c r="H14" s="534">
        <f>IF('Study Information &amp; rates'!$B$44="Yes",G14*28.7%,0)</f>
        <v>0</v>
      </c>
      <c r="I14" s="2">
        <f>G14+H14</f>
        <v>0</v>
      </c>
      <c r="J14" s="2">
        <f>'Set-up and other costs'!$B$18*Pharmacy!I14</f>
        <v>0</v>
      </c>
      <c r="M14" s="6" t="str">
        <f>'Look Up'!$A$11&amp;Pharmacy!C14</f>
        <v>Pharmacy</v>
      </c>
      <c r="W14" s="272"/>
    </row>
    <row r="15" spans="1:23" s="6" customFormat="1" ht="16.5" customHeight="1">
      <c r="A15" s="489"/>
      <c r="B15" s="270"/>
      <c r="C15" s="8"/>
      <c r="D15" s="695"/>
      <c r="E15" s="277"/>
      <c r="F15" s="277"/>
      <c r="G15" s="2">
        <f>(E15*F15)*D15</f>
        <v>0</v>
      </c>
      <c r="H15" s="534">
        <f>IF('Study Information &amp; rates'!$B$44="Yes",G15*28.7%,0)</f>
        <v>0</v>
      </c>
      <c r="I15" s="2">
        <f>G15+H15</f>
        <v>0</v>
      </c>
      <c r="J15" s="2">
        <f>'Set-up and other costs'!$B$18*Pharmacy!I15</f>
        <v>0</v>
      </c>
      <c r="K15" s="12"/>
      <c r="L15" s="12"/>
      <c r="M15" s="6" t="str">
        <f>'Look Up'!$A$11&amp;Pharmacy!C15</f>
        <v>Pharmacy</v>
      </c>
      <c r="N15" s="12"/>
      <c r="O15" s="12"/>
      <c r="P15" s="12"/>
      <c r="Q15" s="12"/>
      <c r="R15" s="37"/>
      <c r="S15" s="37"/>
      <c r="T15" s="37"/>
      <c r="U15" s="15"/>
      <c r="W15" s="272"/>
    </row>
    <row r="16" spans="1:23" s="6" customFormat="1" ht="16.5" customHeight="1">
      <c r="A16" s="489"/>
      <c r="B16" s="270"/>
      <c r="C16" s="8"/>
      <c r="D16" s="695"/>
      <c r="E16" s="277"/>
      <c r="F16" s="277"/>
      <c r="G16" s="2">
        <v>0</v>
      </c>
      <c r="H16" s="534">
        <f>IF('Study Information &amp; rates'!$B$44="Yes",G16*28.7%,0)</f>
        <v>0</v>
      </c>
      <c r="I16" s="2">
        <f>G16+H16</f>
        <v>0</v>
      </c>
      <c r="J16" s="2">
        <f>'Set-up and other costs'!$B$18*Pharmacy!I16</f>
        <v>0</v>
      </c>
      <c r="K16" s="12"/>
      <c r="L16" s="12"/>
      <c r="M16" s="6" t="str">
        <f>'Look Up'!$A$11&amp;Pharmacy!C16</f>
        <v>Pharmacy</v>
      </c>
      <c r="N16" s="12"/>
      <c r="O16" s="12"/>
      <c r="P16" s="12"/>
      <c r="Q16" s="12"/>
      <c r="R16" s="12"/>
      <c r="S16" s="37"/>
      <c r="T16" s="37"/>
      <c r="U16" s="37"/>
      <c r="W16" s="272"/>
    </row>
    <row r="17" spans="4:23" s="6" customFormat="1" ht="13">
      <c r="D17" s="696">
        <f>SUM(D5:D16)</f>
        <v>0</v>
      </c>
      <c r="E17" s="697">
        <f>SUM(E5:E16)</f>
        <v>0</v>
      </c>
      <c r="F17" s="697">
        <f>SUM(F5:F16)</f>
        <v>0</v>
      </c>
      <c r="G17" s="291">
        <f>SUM(G5:G16)</f>
        <v>0</v>
      </c>
      <c r="H17" s="535">
        <f>SUM(H5:H16)</f>
        <v>0</v>
      </c>
      <c r="I17" s="2">
        <f>SUM(I5:I16)</f>
        <v>0</v>
      </c>
      <c r="J17" s="2">
        <f>SUM(J5:J16)</f>
        <v>0</v>
      </c>
      <c r="L17" s="12"/>
      <c r="W17" s="272"/>
    </row>
    <row r="18" spans="8:23" s="6" customFormat="1" ht="13">
      <c r="H18" s="36"/>
      <c r="I18" s="36"/>
      <c r="J18" s="36"/>
      <c r="K18" s="36"/>
      <c r="L18" s="12"/>
      <c r="M18" s="36"/>
      <c r="N18" s="36"/>
      <c r="O18" s="36"/>
      <c r="P18" s="36"/>
      <c r="Q18" s="36"/>
      <c r="R18" s="36"/>
      <c r="S18" s="36"/>
      <c r="T18" s="36"/>
      <c r="U18" s="37"/>
      <c r="V18" s="37"/>
      <c r="W18" s="273"/>
    </row>
    <row r="19" spans="1:12">
      <c r="A19"/>
      <c r="D19"/>
      <c r="E19"/>
      <c r="F19"/>
      <c r="G19"/>
      <c r="H19"/>
      <c r="J19"/>
      <c r="K19"/>
      <c r="L19" s="12"/>
    </row>
    <row r="20" spans="1:23" s="5" customFormat="1" ht="15.5">
      <c r="A20" s="21" t="s">
        <v>26</v>
      </c>
      <c r="B20" s="21"/>
      <c r="C20" s="21"/>
      <c r="L20" s="12"/>
      <c r="W20" s="274"/>
    </row>
    <row r="21" spans="1:12">
      <c r="A21"/>
      <c r="D21"/>
      <c r="E21"/>
      <c r="F21"/>
      <c r="G21"/>
      <c r="H21"/>
      <c r="J21"/>
      <c r="K21"/>
      <c r="L21" s="12"/>
    </row>
    <row r="22" spans="1:23" s="5" customFormat="1" ht="26">
      <c r="A22" s="9" t="s">
        <v>24</v>
      </c>
      <c r="B22" s="9"/>
      <c r="C22" s="9" t="s">
        <v>2059</v>
      </c>
      <c r="D22" s="430" t="s">
        <v>25</v>
      </c>
      <c r="E22" s="9" t="s">
        <v>2180</v>
      </c>
      <c r="F22"/>
      <c r="G22"/>
      <c r="H22"/>
      <c r="I22"/>
      <c r="J22" s="430" t="s">
        <v>2252</v>
      </c>
      <c r="L22" s="12"/>
      <c r="W22" s="274"/>
    </row>
    <row r="23" spans="1:23" s="5" customFormat="1" ht="13">
      <c r="A23" s="278" t="s">
        <v>2304</v>
      </c>
      <c r="B23" s="270"/>
      <c r="C23" s="8" t="s">
        <v>2014</v>
      </c>
      <c r="D23" s="441"/>
      <c r="E23" s="759"/>
      <c r="F23"/>
      <c r="G23"/>
      <c r="H23"/>
      <c r="I23"/>
      <c r="J23" s="2">
        <f>'Set-up and other costs'!$B$18*Pharmacy!D23*E23</f>
        <v>0</v>
      </c>
      <c r="L23" s="12"/>
      <c r="M23" s="6" t="str">
        <f>'Look Up'!$A$11&amp;Pharmacy!C23</f>
        <v>PharmacyResearch Cost B</v>
      </c>
      <c r="W23" s="274"/>
    </row>
    <row r="24" spans="1:23" s="5" customFormat="1" ht="13">
      <c r="A24" s="278" t="s">
        <v>2305</v>
      </c>
      <c r="B24" s="270"/>
      <c r="C24" s="8" t="s">
        <v>2014</v>
      </c>
      <c r="D24" s="441"/>
      <c r="E24" s="759"/>
      <c r="F24"/>
      <c r="G24"/>
      <c r="H24"/>
      <c r="I24"/>
      <c r="J24" s="2">
        <f>'Set-up and other costs'!$B$18*Pharmacy!D24*E24</f>
        <v>0</v>
      </c>
      <c r="L24" s="12"/>
      <c r="M24" s="6" t="str">
        <f>'Look Up'!$A$11&amp;Pharmacy!C24</f>
        <v>PharmacyResearch Cost B</v>
      </c>
      <c r="W24" s="274"/>
    </row>
    <row r="25" spans="1:23" s="5" customFormat="1" ht="13">
      <c r="A25" s="278" t="s">
        <v>2306</v>
      </c>
      <c r="B25" s="270"/>
      <c r="C25" s="8" t="s">
        <v>2014</v>
      </c>
      <c r="D25" s="458"/>
      <c r="E25" s="759"/>
      <c r="F25"/>
      <c r="G25"/>
      <c r="H25"/>
      <c r="I25"/>
      <c r="J25" s="2">
        <f>'Set-up and other costs'!$B$18*Pharmacy!D25*E25</f>
        <v>0</v>
      </c>
      <c r="L25" s="12"/>
      <c r="M25" s="6" t="str">
        <f>'Look Up'!$A$11&amp;Pharmacy!C25</f>
        <v>PharmacyResearch Cost B</v>
      </c>
      <c r="W25" s="274"/>
    </row>
    <row r="26" spans="1:23" s="5" customFormat="1" ht="13">
      <c r="A26" s="278" t="s">
        <v>2307</v>
      </c>
      <c r="B26" s="270"/>
      <c r="C26" s="8" t="s">
        <v>2014</v>
      </c>
      <c r="D26" s="458"/>
      <c r="E26" s="759"/>
      <c r="F26"/>
      <c r="G26"/>
      <c r="H26"/>
      <c r="I26"/>
      <c r="J26" s="2">
        <f>'Set-up and other costs'!$B$18*Pharmacy!D26*E26</f>
        <v>0</v>
      </c>
      <c r="L26" s="12"/>
      <c r="M26" s="6" t="str">
        <f>'Look Up'!$A$11&amp;Pharmacy!C26</f>
        <v>PharmacyResearch Cost B</v>
      </c>
      <c r="W26" s="274"/>
    </row>
    <row r="27" spans="4:23" s="5" customFormat="1" ht="13">
      <c r="D27" s="694">
        <f>SUM(D23:D26)</f>
        <v>0</v>
      </c>
      <c r="E27" s="694">
        <f>SUM(E23:E26)</f>
        <v>0</v>
      </c>
      <c r="F27"/>
      <c r="G27"/>
      <c r="H27"/>
      <c r="I27"/>
      <c r="J27" s="760">
        <f>SUM(J23:J26)</f>
        <v>0</v>
      </c>
      <c r="L27" s="6"/>
      <c r="W27" s="274"/>
    </row>
    <row r="28" spans="1:23" s="5" customFormat="1" ht="15.5">
      <c r="A28" s="21" t="s">
        <v>31</v>
      </c>
      <c r="B28" s="21"/>
      <c r="C28" s="21"/>
      <c r="L28" s="36"/>
      <c r="W28" s="274"/>
    </row>
    <row r="29" spans="1:12">
      <c r="A29" s="348" t="s">
        <v>2181</v>
      </c>
      <c r="D29"/>
      <c r="E29"/>
      <c r="F29"/>
      <c r="G29"/>
      <c r="H29"/>
      <c r="J29"/>
      <c r="K29"/>
      <c r="L29"/>
    </row>
    <row r="30" spans="1:23" s="5" customFormat="1" ht="26">
      <c r="A30" s="9" t="s">
        <v>24</v>
      </c>
      <c r="B30" s="9"/>
      <c r="C30" s="9" t="s">
        <v>2059</v>
      </c>
      <c r="D30" s="10" t="s">
        <v>25</v>
      </c>
      <c r="E30" s="9" t="s">
        <v>2180</v>
      </c>
      <c r="F30" s="482"/>
      <c r="G30" s="691" t="s">
        <v>3</v>
      </c>
      <c r="H30" s="536"/>
      <c r="I30" s="430" t="s">
        <v>2251</v>
      </c>
      <c r="J30" s="430" t="s">
        <v>2252</v>
      </c>
      <c r="W30" s="274"/>
    </row>
    <row r="31" spans="1:23" s="5" customFormat="1" ht="13">
      <c r="A31" s="278" t="s">
        <v>2168</v>
      </c>
      <c r="B31" s="270"/>
      <c r="C31" s="8" t="s">
        <v>2013</v>
      </c>
      <c r="D31" s="290">
        <v>25</v>
      </c>
      <c r="E31" s="692"/>
      <c r="F31" s="482" t="s">
        <v>2296</v>
      </c>
      <c r="G31" s="693">
        <f>D31*E31</f>
        <v>0</v>
      </c>
      <c r="H31" s="534"/>
      <c r="I31" s="2">
        <f>G31+H31</f>
        <v>0</v>
      </c>
      <c r="J31" s="2">
        <f>IF('Study Information &amp; rates'!B95="No",Pharmacy!I31,'Set-up and other costs'!$B$18*Pharmacy!I31)</f>
        <v>0</v>
      </c>
      <c r="L31"/>
      <c r="M31" s="6" t="str">
        <f>'Look Up'!$A$11&amp;Pharmacy!C31</f>
        <v>PharmacyResearch Cost A</v>
      </c>
      <c r="W31" s="274"/>
    </row>
    <row r="32" spans="1:23" s="5" customFormat="1" ht="13">
      <c r="A32" s="278" t="s">
        <v>2169</v>
      </c>
      <c r="B32" s="270"/>
      <c r="C32" s="8" t="s">
        <v>2074</v>
      </c>
      <c r="D32" s="290">
        <v>32</v>
      </c>
      <c r="E32" s="347"/>
      <c r="F32" s="482" t="s">
        <v>2297</v>
      </c>
      <c r="G32" s="693">
        <f>D32*E32</f>
        <v>0</v>
      </c>
      <c r="H32" s="534"/>
      <c r="I32" s="2">
        <f>G32+H32</f>
        <v>0</v>
      </c>
      <c r="J32" s="2">
        <f>IF('Study Information &amp; rates'!B96="No",Pharmacy!I32,'Set-up and other costs'!$B$18*Pharmacy!I32)</f>
        <v>0</v>
      </c>
      <c r="M32" s="6" t="str">
        <f>'Look Up'!$A$11&amp;Pharmacy!C32</f>
        <v>PharmacyService Support Cost</v>
      </c>
      <c r="W32" s="274"/>
    </row>
    <row r="33" spans="1:23" s="5" customFormat="1" ht="13">
      <c r="A33" s="278" t="s">
        <v>2170</v>
      </c>
      <c r="B33" s="270"/>
      <c r="C33" s="8" t="s">
        <v>2014</v>
      </c>
      <c r="D33" s="290">
        <v>32</v>
      </c>
      <c r="E33" s="347"/>
      <c r="F33" s="482" t="s">
        <v>2298</v>
      </c>
      <c r="G33" s="693">
        <f>D33*E33</f>
        <v>0</v>
      </c>
      <c r="H33" s="534"/>
      <c r="I33" s="2">
        <f>G33+H33</f>
        <v>0</v>
      </c>
      <c r="J33" s="2">
        <f>IF('Study Information &amp; rates'!B97="No",Pharmacy!I33,'Set-up and other costs'!$B$18*Pharmacy!I33)</f>
        <v>0</v>
      </c>
      <c r="M33" s="6" t="str">
        <f>'Look Up'!$A$11&amp;Pharmacy!C33</f>
        <v>PharmacyResearch Cost B</v>
      </c>
      <c r="W33" s="274"/>
    </row>
    <row r="34" spans="1:23" s="5" customFormat="1" ht="13">
      <c r="A34" s="278" t="s">
        <v>2171</v>
      </c>
      <c r="B34" s="270"/>
      <c r="C34" s="8" t="s">
        <v>2014</v>
      </c>
      <c r="D34" s="290">
        <v>32</v>
      </c>
      <c r="E34" s="347"/>
      <c r="F34" s="482" t="s">
        <v>2299</v>
      </c>
      <c r="G34" s="693">
        <f>D34*E34</f>
        <v>0</v>
      </c>
      <c r="H34" s="534"/>
      <c r="I34" s="2">
        <f>G34+H34</f>
        <v>0</v>
      </c>
      <c r="J34" s="2">
        <f>IF('Study Information &amp; rates'!B98="No",Pharmacy!I34,'Set-up and other costs'!$B$18*Pharmacy!I34)</f>
        <v>0</v>
      </c>
      <c r="M34" s="6" t="str">
        <f>'Look Up'!$A$11&amp;Pharmacy!C34</f>
        <v>PharmacyResearch Cost B</v>
      </c>
      <c r="W34" s="274"/>
    </row>
    <row r="35" spans="1:23" s="5" customFormat="1" ht="13">
      <c r="A35" s="278" t="s">
        <v>2172</v>
      </c>
      <c r="B35" s="270"/>
      <c r="C35" s="8" t="s">
        <v>2026</v>
      </c>
      <c r="D35" s="290">
        <v>49</v>
      </c>
      <c r="E35" s="347"/>
      <c r="F35" s="482" t="s">
        <v>2300</v>
      </c>
      <c r="G35" s="693">
        <f>D35*E35</f>
        <v>0</v>
      </c>
      <c r="H35" s="534"/>
      <c r="I35" s="2">
        <f>G35+H35</f>
        <v>0</v>
      </c>
      <c r="J35" s="2">
        <f>IF('Study Information &amp; rates'!B99="No",Pharmacy!I35,'Set-up and other costs'!$B$18*Pharmacy!I35)</f>
        <v>0</v>
      </c>
      <c r="M35" s="6" t="str">
        <f>'Look Up'!$A$11&amp;Pharmacy!C35</f>
        <v>PharmacyTreatment Costs</v>
      </c>
      <c r="W35" s="274"/>
    </row>
    <row r="36" spans="1:23" s="5" customFormat="1" ht="13">
      <c r="A36" s="278" t="s">
        <v>2173</v>
      </c>
      <c r="B36" s="270"/>
      <c r="C36" s="8" t="s">
        <v>2013</v>
      </c>
      <c r="D36" s="290">
        <v>42</v>
      </c>
      <c r="E36" s="347"/>
      <c r="F36" s="482" t="s">
        <v>2301</v>
      </c>
      <c r="G36" s="693">
        <f>D36*E36</f>
        <v>0</v>
      </c>
      <c r="H36" s="534"/>
      <c r="I36" s="2">
        <f>G36+H36</f>
        <v>0</v>
      </c>
      <c r="J36" s="2">
        <f>IF('Study Information &amp; rates'!B100="No",Pharmacy!I36,'Set-up and other costs'!$B$18*Pharmacy!I36)</f>
        <v>0</v>
      </c>
      <c r="M36" s="6" t="str">
        <f>'Look Up'!$A$11&amp;Pharmacy!C36</f>
        <v>PharmacyResearch Cost A</v>
      </c>
      <c r="W36" s="274"/>
    </row>
    <row r="37" spans="1:23" s="5" customFormat="1" ht="13">
      <c r="A37" s="278" t="s">
        <v>2174</v>
      </c>
      <c r="B37" s="270"/>
      <c r="C37" s="8" t="s">
        <v>2026</v>
      </c>
      <c r="D37" s="290">
        <v>32</v>
      </c>
      <c r="E37" s="347"/>
      <c r="F37" s="482" t="s">
        <v>2302</v>
      </c>
      <c r="G37" s="693">
        <f>D37*E37</f>
        <v>0</v>
      </c>
      <c r="H37" s="534"/>
      <c r="I37" s="2">
        <f>G37+H37</f>
        <v>0</v>
      </c>
      <c r="J37" s="2">
        <f>IF('Study Information &amp; rates'!B101="No",Pharmacy!I37,'Set-up and other costs'!$B$18*Pharmacy!I37)</f>
        <v>0</v>
      </c>
      <c r="M37" s="6" t="str">
        <f>'Look Up'!$A$11&amp;Pharmacy!C37</f>
        <v>PharmacyTreatment Costs</v>
      </c>
      <c r="W37" s="274"/>
    </row>
    <row r="38" spans="1:23" s="5" customFormat="1" ht="13">
      <c r="A38" s="278" t="s">
        <v>2175</v>
      </c>
      <c r="B38" s="270"/>
      <c r="C38" s="8" t="s">
        <v>2026</v>
      </c>
      <c r="D38" s="290">
        <v>50</v>
      </c>
      <c r="E38" s="347"/>
      <c r="F38" s="482" t="s">
        <v>2299</v>
      </c>
      <c r="G38" s="693">
        <f>D38*E38</f>
        <v>0</v>
      </c>
      <c r="H38" s="534"/>
      <c r="I38" s="2">
        <f>G38+H38</f>
        <v>0</v>
      </c>
      <c r="J38" s="2">
        <f>IF('Study Information &amp; rates'!B102="No",Pharmacy!I38,'Set-up and other costs'!$B$18*Pharmacy!I38)</f>
        <v>0</v>
      </c>
      <c r="M38" s="6" t="str">
        <f>'Look Up'!$A$11&amp;Pharmacy!C38</f>
        <v>PharmacyTreatment Costs</v>
      </c>
      <c r="W38" s="274"/>
    </row>
    <row r="39" spans="1:23" s="5" customFormat="1" ht="13">
      <c r="A39" s="278" t="s">
        <v>2176</v>
      </c>
      <c r="B39" s="270"/>
      <c r="C39" s="8" t="s">
        <v>2014</v>
      </c>
      <c r="D39" s="290">
        <v>32</v>
      </c>
      <c r="E39" s="347"/>
      <c r="F39" s="482" t="s">
        <v>2303</v>
      </c>
      <c r="G39" s="693">
        <f>D39*E39</f>
        <v>0</v>
      </c>
      <c r="H39" s="534"/>
      <c r="I39" s="2">
        <f>G39+H39</f>
        <v>0</v>
      </c>
      <c r="J39" s="2">
        <f>IF('Study Information &amp; rates'!B103="No",Pharmacy!I39,'Set-up and other costs'!$B$18*Pharmacy!I39)</f>
        <v>0</v>
      </c>
      <c r="M39" s="6" t="str">
        <f>'Look Up'!$A$11&amp;Pharmacy!C39</f>
        <v>PharmacyResearch Cost B</v>
      </c>
      <c r="W39" s="274"/>
    </row>
    <row r="40" spans="1:23" s="5" customFormat="1" ht="13">
      <c r="A40" s="278" t="s">
        <v>2177</v>
      </c>
      <c r="B40" s="270"/>
      <c r="C40" s="8" t="s">
        <v>2013</v>
      </c>
      <c r="D40" s="290">
        <v>32</v>
      </c>
      <c r="E40" s="347"/>
      <c r="F40" s="482" t="s">
        <v>2298</v>
      </c>
      <c r="G40" s="693">
        <f>D40*E40</f>
        <v>0</v>
      </c>
      <c r="H40" s="534"/>
      <c r="I40" s="2">
        <f>G40+H40</f>
        <v>0</v>
      </c>
      <c r="J40" s="2">
        <f>IF('Study Information &amp; rates'!B104="No",Pharmacy!I40,'Set-up and other costs'!$B$18*Pharmacy!I40)</f>
        <v>0</v>
      </c>
      <c r="M40" s="6" t="str">
        <f>'Look Up'!$A$11&amp;Pharmacy!C40</f>
        <v>PharmacyResearch Cost A</v>
      </c>
      <c r="W40" s="274"/>
    </row>
    <row r="41" spans="1:23" s="5" customFormat="1" ht="13">
      <c r="A41" s="278" t="s">
        <v>2178</v>
      </c>
      <c r="B41" s="270"/>
      <c r="C41" s="8" t="s">
        <v>2013</v>
      </c>
      <c r="D41" s="290"/>
      <c r="E41" s="347"/>
      <c r="F41" s="482"/>
      <c r="G41" s="693">
        <f>D41*E41</f>
        <v>0</v>
      </c>
      <c r="H41" s="534"/>
      <c r="I41" s="2">
        <f>G41+H41</f>
        <v>0</v>
      </c>
      <c r="J41" s="2">
        <f>IF('Study Information &amp; rates'!B105="No",Pharmacy!I41,'Set-up and other costs'!$B$18*Pharmacy!I41)</f>
        <v>0</v>
      </c>
      <c r="M41" s="6" t="str">
        <f>'Look Up'!$A$11&amp;Pharmacy!C41</f>
        <v>PharmacyResearch Cost A</v>
      </c>
      <c r="W41" s="274"/>
    </row>
    <row r="42" spans="1:23" s="5" customFormat="1" ht="13">
      <c r="A42" s="278" t="s">
        <v>2179</v>
      </c>
      <c r="B42" s="270"/>
      <c r="C42" s="8"/>
      <c r="D42" s="290"/>
      <c r="E42" s="347"/>
      <c r="F42" s="482"/>
      <c r="G42" s="693">
        <f>D42*E42</f>
        <v>0</v>
      </c>
      <c r="H42" s="534"/>
      <c r="I42" s="2">
        <f>G42+H42</f>
        <v>0</v>
      </c>
      <c r="J42" s="2">
        <f>IF('Study Information &amp; rates'!B106="No",Pharmacy!I42,'Set-up and other costs'!$B$18*Pharmacy!I42)</f>
        <v>0</v>
      </c>
      <c r="L42"/>
      <c r="M42" s="6" t="str">
        <f>'Look Up'!$A$11&amp;Pharmacy!C42</f>
        <v>Pharmacy</v>
      </c>
      <c r="W42" s="274"/>
    </row>
    <row r="43" spans="1:23" s="5" customFormat="1" ht="13">
      <c r="A43" s="278"/>
      <c r="B43" s="270"/>
      <c r="C43" s="8"/>
      <c r="D43" s="290"/>
      <c r="E43" s="347"/>
      <c r="F43" s="482"/>
      <c r="G43" s="693">
        <f>D43*E43</f>
        <v>0</v>
      </c>
      <c r="H43" s="534"/>
      <c r="I43" s="2">
        <f>G43+H43</f>
        <v>0</v>
      </c>
      <c r="J43" s="2">
        <f>IF('Study Information &amp; rates'!B107="No",Pharmacy!I43,'Set-up and other costs'!$B$18*Pharmacy!I43)</f>
        <v>0</v>
      </c>
      <c r="M43" s="6" t="str">
        <f>'Look Up'!$A$11&amp;Pharmacy!C43</f>
        <v>Pharmacy</v>
      </c>
      <c r="W43" s="274"/>
    </row>
    <row r="44" spans="1:23" s="5" customFormat="1" ht="18.75" customHeight="1">
      <c r="A44" s="23" t="s">
        <v>34</v>
      </c>
      <c r="B44" s="23"/>
      <c r="C44" s="23"/>
      <c r="I44" s="2">
        <f>SUM(I31:I43)</f>
        <v>0</v>
      </c>
      <c r="J44" s="2">
        <f>SUM(J31:J43)</f>
        <v>0</v>
      </c>
      <c r="W44" s="274"/>
    </row>
    <row r="45" spans="1:12">
      <c r="A45"/>
      <c r="D45"/>
      <c r="E45"/>
      <c r="F45"/>
      <c r="G45"/>
      <c r="H45"/>
      <c r="J45"/>
      <c r="K45"/>
      <c r="L45" s="5"/>
    </row>
    <row r="46" spans="1:12">
      <c r="A46" t="s">
        <v>50</v>
      </c>
      <c r="D46"/>
      <c r="E46"/>
      <c r="F46"/>
      <c r="G46" s="239"/>
      <c r="H46"/>
      <c r="J46"/>
      <c r="K46"/>
      <c r="L46"/>
    </row>
    <row r="47" spans="1:12">
      <c r="A47"/>
      <c r="D47"/>
      <c r="E47"/>
      <c r="F47"/>
      <c r="G47"/>
      <c r="H47"/>
      <c r="J47"/>
      <c r="K47"/>
      <c r="L47"/>
    </row>
    <row r="48" spans="1:12">
      <c r="A48"/>
      <c r="D48"/>
      <c r="E48"/>
      <c r="F48"/>
      <c r="G48"/>
      <c r="H48"/>
      <c r="J48"/>
      <c r="K48"/>
      <c r="L48"/>
    </row>
    <row r="49" spans="1:12">
      <c r="A49"/>
      <c r="D49"/>
      <c r="E49"/>
      <c r="F49"/>
      <c r="G49"/>
      <c r="H49"/>
      <c r="J49"/>
      <c r="K49"/>
      <c r="L49"/>
    </row>
  </sheetData>
  <sheetProtection algorithmName="SHA-512" hashValue="NetmcwE3XDTzHacKV9fkMdsj0Rvk3pr6OVw6kjTcEnrlc9bKl7ntrj8YXLqHq1yjyPk1QG2joStFbNPIhXDjKw==" saltValue="BDef+wNxEYsriOGHs6/Ljw==" spinCount="100000" sheet="1" objects="1" scenarios="1"/>
  <dataValidations count="8">
    <dataValidation type="list" allowBlank="1" showInputMessage="1" showErrorMessage="1" sqref="B5:B21 B31:B35 B23:B25 B44:B45">
      <formula1>$W$2:$W$3</formula1>
    </dataValidation>
    <dataValidation type="whole" operator="greaterThan" allowBlank="1" showInputMessage="1" showErrorMessage="1" sqref="N16:R16 N15:Q15 G17:H17 K15:L26 E5:F21 F22:I27">
      <formula1>0</formula1>
    </dataValidation>
    <dataValidation type="list" allowBlank="1" showInputMessage="1" showErrorMessage="1" sqref="C5:C16 C31:C43 C23:C26">
      <formula1>AcCord</formula1>
    </dataValidation>
    <dataValidation type="list" allowBlank="1" showInputMessage="1" showErrorMessage="1" sqref="C44:C45">
      <formula1>'Look Up'!A29:A31</formula1>
    </dataValidation>
    <dataValidation type="list" allowBlank="1" showInputMessage="1" showErrorMessage="1" sqref="C31:C43 C26">
      <formula1>'Look Up'!A25:A31</formula1>
    </dataValidation>
    <dataValidation type="list" allowBlank="1" showInputMessage="1" showErrorMessage="1" sqref="C17:C21">
      <formula1>'Look Up'!A5:A7</formula1>
    </dataValidation>
    <dataValidation type="list" allowBlank="1" showInputMessage="1" showErrorMessage="1" sqref="C5:C16">
      <formula1>'Look Up'!A5:A9</formula1>
    </dataValidation>
    <dataValidation type="list" allowBlank="1" showInputMessage="1" showErrorMessage="1" sqref="C23:C25">
      <formula1>'Look Up'!A23:A29</formula1>
    </dataValidation>
  </dataValidations>
  <pageMargins left="0.7" right="0.7" top="0.75" bottom="0.75" header="0.3" footer="0.3"/>
  <pageSetup paperSize="9" orientation="portrait"/>
  <headerFooter scaleWithDoc="1" alignWithMargins="0" differentFirst="0" differentOddEven="0"/>
  <extLst/>
</worksheet>
</file>

<file path=xl/worksheets/sheet1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W45"/>
  <sheetViews>
    <sheetView topLeftCell="F1" zoomScale="50" view="normal" workbookViewId="0">
      <selection pane="topLeft" activeCell="S14" sqref="S14"/>
    </sheetView>
  </sheetViews>
  <sheetFormatPr defaultColWidth="9.1796875" defaultRowHeight="14.5"/>
  <cols>
    <col min="1" max="1" width="43.140625" style="349" customWidth="1"/>
    <col min="2" max="2" width="44.140625" style="349" customWidth="1"/>
    <col min="3" max="3" width="28.7109375" style="349" customWidth="1"/>
    <col min="4" max="4" width="43.140625" style="349" customWidth="1"/>
    <col min="5" max="5" width="18.140625" style="349" customWidth="1"/>
    <col min="6" max="6" width="11.140625" style="349" customWidth="1"/>
    <col min="7" max="7" width="9.41796875" style="349" customWidth="1"/>
    <col min="8" max="8" width="18.140625" style="349" customWidth="1"/>
    <col min="9" max="9" width="10.41796875" style="349" customWidth="1"/>
    <col min="10" max="10" width="10.41796875" style="349" hidden="1" customWidth="1"/>
    <col min="11" max="11" width="14.27734375" style="349" customWidth="1"/>
    <col min="12" max="12" width="6.41796875" style="349" hidden="1" customWidth="1"/>
    <col min="13" max="13" width="7.5703125" style="349" hidden="1" customWidth="1"/>
    <col min="14" max="14" width="6.41796875" style="349" hidden="1" customWidth="1"/>
    <col min="15" max="16" width="6.41796875" style="349" customWidth="1"/>
    <col min="17" max="17" width="7.5703125" style="349" customWidth="1"/>
    <col min="18" max="18" width="17.41796875" style="349" customWidth="1"/>
    <col min="19" max="19" width="37.41796875" style="349" customWidth="1"/>
    <col min="20" max="20" width="9.41796875" style="349" customWidth="1"/>
    <col min="21" max="22" width="9.140625" style="349" customWidth="1"/>
    <col min="23" max="23" width="9.140625" style="487" customWidth="1"/>
    <col min="24" max="16384" width="9.140625" style="349" customWidth="1"/>
  </cols>
  <sheetData>
    <row r="1" spans="4:4">
      <c r="D1" s="486"/>
    </row>
    <row r="2" spans="1:23" s="183" customFormat="1" ht="15.5">
      <c r="A2" s="464" t="s">
        <v>1705</v>
      </c>
      <c r="B2" s="464"/>
      <c r="C2" s="464"/>
      <c r="D2" s="464"/>
      <c r="E2" s="450"/>
      <c r="F2" s="450"/>
      <c r="G2" s="450"/>
      <c r="H2" s="450"/>
      <c r="W2" s="488" t="s">
        <v>1979</v>
      </c>
    </row>
    <row r="3" spans="1:23" s="183" customFormat="1" ht="12.75" customHeight="1">
      <c r="A3" s="467"/>
      <c r="B3" s="467"/>
      <c r="C3" s="467"/>
      <c r="D3" s="467"/>
      <c r="W3" s="488" t="s">
        <v>1980</v>
      </c>
    </row>
    <row r="4" spans="1:23" s="183" customFormat="1" ht="26">
      <c r="A4" s="430" t="s">
        <v>2039</v>
      </c>
      <c r="B4" s="430" t="s">
        <v>2034</v>
      </c>
      <c r="C4" s="430" t="s">
        <v>1926</v>
      </c>
      <c r="D4" s="430" t="s">
        <v>2059</v>
      </c>
      <c r="E4" s="446" t="s">
        <v>21</v>
      </c>
      <c r="F4" s="430" t="s">
        <v>2038</v>
      </c>
      <c r="G4" s="430" t="s">
        <v>2037</v>
      </c>
      <c r="H4" s="430" t="s">
        <v>3</v>
      </c>
      <c r="I4" s="537" t="s">
        <v>5</v>
      </c>
      <c r="J4" s="430" t="s">
        <v>2251</v>
      </c>
      <c r="K4" s="430" t="s">
        <v>2252</v>
      </c>
      <c r="R4" s="1012" t="s">
        <v>2474</v>
      </c>
      <c r="S4" s="1013"/>
      <c r="W4" s="488"/>
    </row>
    <row r="5" spans="1:23" s="183" customFormat="1" ht="16.5" customHeight="1">
      <c r="A5" s="325"/>
      <c r="B5" s="270"/>
      <c r="C5" s="270"/>
      <c r="D5" s="8"/>
      <c r="E5" s="308"/>
      <c r="F5" s="277"/>
      <c r="G5" s="277"/>
      <c r="H5" s="440">
        <f>(F5*G5)*E5</f>
        <v>0</v>
      </c>
      <c r="I5" s="557">
        <v>0</v>
      </c>
      <c r="J5" s="440">
        <f>H5+I5</f>
        <v>0</v>
      </c>
      <c r="K5" s="440">
        <f>H5+I5</f>
        <v>0</v>
      </c>
      <c r="M5" s="183" t="str">
        <f>'Look Up'!$A$17&amp;$D5</f>
        <v>Radiology</v>
      </c>
      <c r="R5" s="1012" t="s">
        <v>2475</v>
      </c>
      <c r="S5" s="1013"/>
      <c r="W5" s="488"/>
    </row>
    <row r="6" spans="1:23" s="183" customFormat="1" ht="16.5" customHeight="1">
      <c r="A6" s="325"/>
      <c r="B6" s="270"/>
      <c r="C6" s="270"/>
      <c r="D6" s="8"/>
      <c r="E6" s="308"/>
      <c r="F6" s="277"/>
      <c r="G6" s="277"/>
      <c r="H6" s="440">
        <f>(F6*G6)*E6</f>
        <v>0</v>
      </c>
      <c r="I6" s="557">
        <v>0</v>
      </c>
      <c r="J6" s="440">
        <f>H6+I6</f>
        <v>0</v>
      </c>
      <c r="K6" s="440">
        <f>H6+I6</f>
        <v>0</v>
      </c>
      <c r="M6" s="183" t="str">
        <f>'Look Up'!$A$17&amp;$D6</f>
        <v>Radiology</v>
      </c>
      <c r="R6" s="1012" t="s">
        <v>2000</v>
      </c>
      <c r="S6" s="1013"/>
      <c r="W6" s="488"/>
    </row>
    <row r="7" spans="1:23" s="183" customFormat="1" ht="16.5" customHeight="1">
      <c r="A7" s="325"/>
      <c r="B7" s="270"/>
      <c r="C7" s="270"/>
      <c r="D7" s="8"/>
      <c r="E7" s="308"/>
      <c r="F7" s="277"/>
      <c r="G7" s="277"/>
      <c r="H7" s="440">
        <f>(F7*G7)*E7</f>
        <v>0</v>
      </c>
      <c r="I7" s="557">
        <v>0</v>
      </c>
      <c r="J7" s="440">
        <f>H7+I7</f>
        <v>0</v>
      </c>
      <c r="K7" s="440">
        <f>H7+I7</f>
        <v>0</v>
      </c>
      <c r="M7" s="183" t="str">
        <f>'Look Up'!$A$17&amp;$D7</f>
        <v>Radiology</v>
      </c>
      <c r="W7" s="488"/>
    </row>
    <row r="8" spans="1:23" s="183" customFormat="1" ht="16.5" customHeight="1">
      <c r="A8" s="489"/>
      <c r="B8" s="270"/>
      <c r="C8" s="270"/>
      <c r="D8" s="8"/>
      <c r="E8" s="490"/>
      <c r="F8" s="277"/>
      <c r="G8" s="277"/>
      <c r="H8" s="440">
        <f>(F8*G8)*E8</f>
        <v>0</v>
      </c>
      <c r="I8" s="557">
        <v>0</v>
      </c>
      <c r="J8" s="440">
        <f>H8+I8</f>
        <v>0</v>
      </c>
      <c r="K8" s="440">
        <f>H8+I8</f>
        <v>0</v>
      </c>
      <c r="M8" s="183" t="str">
        <f>'Look Up'!$A$17&amp;$D8</f>
        <v>Radiology</v>
      </c>
      <c r="W8" s="488"/>
    </row>
    <row r="9" spans="1:23" s="183" customFormat="1" ht="16.5" customHeight="1">
      <c r="A9" s="489"/>
      <c r="B9" s="270"/>
      <c r="C9" s="270"/>
      <c r="D9" s="8"/>
      <c r="E9" s="490"/>
      <c r="F9" s="277"/>
      <c r="G9" s="277"/>
      <c r="H9" s="440">
        <f>(F9*G9)*E9</f>
        <v>0</v>
      </c>
      <c r="I9" s="557">
        <v>0</v>
      </c>
      <c r="J9" s="440">
        <f>H9+I9</f>
        <v>0</v>
      </c>
      <c r="K9" s="440">
        <f>H9+I9</f>
        <v>0</v>
      </c>
      <c r="M9" s="183" t="str">
        <f>'Look Up'!$A$17&amp;$D9</f>
        <v>Radiology</v>
      </c>
      <c r="W9" s="488"/>
    </row>
    <row r="10" spans="1:23" s="183" customFormat="1" ht="16.5" customHeight="1">
      <c r="A10" s="489"/>
      <c r="B10" s="270"/>
      <c r="C10" s="270"/>
      <c r="D10" s="8"/>
      <c r="E10" s="490"/>
      <c r="F10" s="277"/>
      <c r="G10" s="277"/>
      <c r="H10" s="440">
        <f>(F10*G10)*E10</f>
        <v>0</v>
      </c>
      <c r="I10" s="557">
        <v>0</v>
      </c>
      <c r="J10" s="440">
        <f>H10+I10</f>
        <v>0</v>
      </c>
      <c r="K10" s="440">
        <f>H10+I10</f>
        <v>0</v>
      </c>
      <c r="M10" s="183" t="str">
        <f>'Look Up'!$A$17&amp;$D10</f>
        <v>Radiology</v>
      </c>
      <c r="W10" s="488"/>
    </row>
    <row r="11" spans="1:23" s="183" customFormat="1" ht="16.5" customHeight="1">
      <c r="A11" s="489"/>
      <c r="B11" s="270"/>
      <c r="C11" s="270"/>
      <c r="D11" s="8"/>
      <c r="E11" s="490"/>
      <c r="F11" s="277"/>
      <c r="G11" s="277"/>
      <c r="H11" s="440">
        <f>(F11*G11)*E11</f>
        <v>0</v>
      </c>
      <c r="I11" s="557">
        <v>0</v>
      </c>
      <c r="J11" s="440">
        <f>H11+I11</f>
        <v>0</v>
      </c>
      <c r="K11" s="440">
        <f>H11+I11</f>
        <v>0</v>
      </c>
      <c r="M11" s="183" t="str">
        <f>'Look Up'!$A$17&amp;$D11</f>
        <v>Radiology</v>
      </c>
      <c r="W11" s="488"/>
    </row>
    <row r="12" spans="1:23" s="183" customFormat="1" ht="16.5" customHeight="1">
      <c r="A12" s="489"/>
      <c r="B12" s="270"/>
      <c r="C12" s="270"/>
      <c r="D12" s="8"/>
      <c r="E12" s="490"/>
      <c r="F12" s="277"/>
      <c r="G12" s="277"/>
      <c r="H12" s="440">
        <f>(F12*G12)*E12</f>
        <v>0</v>
      </c>
      <c r="I12" s="557">
        <v>0</v>
      </c>
      <c r="J12" s="440">
        <f>H12+I12</f>
        <v>0</v>
      </c>
      <c r="K12" s="440">
        <f>H12+I12</f>
        <v>0</v>
      </c>
      <c r="M12" s="183" t="str">
        <f>'Look Up'!$A$17&amp;$D12</f>
        <v>Radiology</v>
      </c>
      <c r="W12" s="488"/>
    </row>
    <row r="13" spans="1:23" s="183" customFormat="1" ht="16.5" customHeight="1">
      <c r="A13" s="489"/>
      <c r="B13" s="270"/>
      <c r="C13" s="270"/>
      <c r="D13" s="8"/>
      <c r="E13" s="490"/>
      <c r="F13" s="277"/>
      <c r="G13" s="277"/>
      <c r="H13" s="440">
        <f>(F13*G13)*E13</f>
        <v>0</v>
      </c>
      <c r="I13" s="557">
        <v>0</v>
      </c>
      <c r="J13" s="440">
        <f>H13+I13</f>
        <v>0</v>
      </c>
      <c r="K13" s="440">
        <f>H13+I13</f>
        <v>0</v>
      </c>
      <c r="M13" s="183" t="str">
        <f>'Look Up'!$A$17&amp;$D13</f>
        <v>Radiology</v>
      </c>
      <c r="W13" s="488"/>
    </row>
    <row r="14" spans="1:23" s="183" customFormat="1" ht="16.5" customHeight="1">
      <c r="A14" s="489"/>
      <c r="B14" s="270"/>
      <c r="C14" s="270"/>
      <c r="D14" s="8"/>
      <c r="E14" s="490"/>
      <c r="F14" s="277"/>
      <c r="G14" s="277"/>
      <c r="H14" s="440">
        <f>(F14*G14)*E14</f>
        <v>0</v>
      </c>
      <c r="I14" s="557">
        <v>0</v>
      </c>
      <c r="J14" s="440">
        <f>H14+I14</f>
        <v>0</v>
      </c>
      <c r="K14" s="440">
        <f>H14+I14</f>
        <v>0</v>
      </c>
      <c r="M14" s="183" t="str">
        <f>'Look Up'!$A$17&amp;$D14</f>
        <v>Radiology</v>
      </c>
      <c r="W14" s="488"/>
    </row>
    <row r="15" spans="1:23" s="183" customFormat="1" ht="16.5" customHeight="1">
      <c r="A15" s="489"/>
      <c r="B15" s="270"/>
      <c r="C15" s="270"/>
      <c r="D15" s="8"/>
      <c r="E15" s="490"/>
      <c r="F15" s="277"/>
      <c r="G15" s="277"/>
      <c r="H15" s="440">
        <f>(F15*G15)*E15</f>
        <v>0</v>
      </c>
      <c r="I15" s="557">
        <v>0</v>
      </c>
      <c r="J15" s="440">
        <f>H15+I15</f>
        <v>0</v>
      </c>
      <c r="K15" s="440">
        <f>H15+I15</f>
        <v>0</v>
      </c>
      <c r="L15" s="12"/>
      <c r="M15" s="183" t="str">
        <f>'Look Up'!$A$17&amp;$D15</f>
        <v>Radiology</v>
      </c>
      <c r="N15" s="12"/>
      <c r="O15" s="12"/>
      <c r="P15" s="12"/>
      <c r="Q15" s="12"/>
      <c r="R15" s="491"/>
      <c r="S15" s="491"/>
      <c r="T15" s="491"/>
      <c r="U15" s="188"/>
      <c r="W15" s="488"/>
    </row>
    <row r="16" spans="1:23" s="183" customFormat="1" ht="16.5" customHeight="1">
      <c r="A16" s="489"/>
      <c r="B16" s="270"/>
      <c r="C16" s="270"/>
      <c r="D16" s="8"/>
      <c r="E16" s="490"/>
      <c r="F16" s="277"/>
      <c r="G16" s="277"/>
      <c r="H16" s="440">
        <v>0</v>
      </c>
      <c r="I16" s="557">
        <v>0</v>
      </c>
      <c r="J16" s="440">
        <f>H16+I16</f>
        <v>0</v>
      </c>
      <c r="K16" s="440">
        <f>H16+I16</f>
        <v>0</v>
      </c>
      <c r="L16" s="12"/>
      <c r="M16" s="183" t="str">
        <f>'Look Up'!$A$17&amp;$D16</f>
        <v>Radiology</v>
      </c>
      <c r="N16" s="12"/>
      <c r="O16" s="12"/>
      <c r="P16" s="12"/>
      <c r="Q16" s="12"/>
      <c r="R16" s="12"/>
      <c r="S16" s="491"/>
      <c r="T16" s="491"/>
      <c r="U16" s="491"/>
      <c r="W16" s="488"/>
    </row>
    <row r="17" spans="5:23" s="183" customFormat="1" ht="13">
      <c r="E17" s="698">
        <f>SUM(E5:E16)</f>
        <v>0</v>
      </c>
      <c r="F17" s="492">
        <f>SUM(F5:F16)</f>
        <v>0</v>
      </c>
      <c r="G17" s="492">
        <f>SUM(G5:G16)</f>
        <v>0</v>
      </c>
      <c r="H17" s="558">
        <f>SUM(H5:H16)</f>
        <v>0</v>
      </c>
      <c r="I17" s="559">
        <f>SUM(I5:I16)</f>
        <v>0</v>
      </c>
      <c r="J17" s="440">
        <f>SUM(J5:J16)</f>
        <v>0</v>
      </c>
      <c r="K17" s="558">
        <f>SUM(K5:K16)</f>
        <v>0</v>
      </c>
      <c r="W17" s="488"/>
    </row>
    <row r="18" spans="9:23" s="183" customFormat="1" ht="13">
      <c r="I18" s="12"/>
      <c r="J18" s="12"/>
      <c r="K18" s="12"/>
      <c r="L18" s="12"/>
      <c r="M18" s="12"/>
      <c r="N18" s="12"/>
      <c r="O18" s="12"/>
      <c r="P18" s="12"/>
      <c r="Q18" s="12"/>
      <c r="R18" s="12"/>
      <c r="S18" s="12"/>
      <c r="T18" s="12"/>
      <c r="U18" s="491"/>
      <c r="V18" s="491"/>
      <c r="W18" s="493"/>
    </row>
    <row r="20" spans="1:23" s="495" customFormat="1" ht="15.5">
      <c r="A20" s="494" t="s">
        <v>26</v>
      </c>
      <c r="B20" s="494"/>
      <c r="C20" s="494"/>
      <c r="D20" s="494"/>
      <c r="W20" s="496"/>
    </row>
    <row r="21" spans="6:9">
      <c r="F21" s="495"/>
      <c r="G21" s="495"/>
      <c r="H21" s="495"/>
      <c r="I21" s="495"/>
    </row>
    <row r="22" spans="1:23" s="495" customFormat="1" ht="26">
      <c r="A22" s="430" t="s">
        <v>24</v>
      </c>
      <c r="B22" s="430" t="s">
        <v>2036</v>
      </c>
      <c r="C22" s="430" t="s">
        <v>1926</v>
      </c>
      <c r="D22" s="472" t="s">
        <v>2059</v>
      </c>
      <c r="E22" s="430" t="s">
        <v>25</v>
      </c>
      <c r="J22" s="497"/>
      <c r="K22" s="430" t="s">
        <v>2252</v>
      </c>
      <c r="W22" s="496"/>
    </row>
    <row r="23" spans="1:23" s="495" customFormat="1" ht="13">
      <c r="A23" s="278"/>
      <c r="B23" s="270"/>
      <c r="C23" s="270"/>
      <c r="D23" s="456"/>
      <c r="E23" s="504"/>
      <c r="J23" s="497"/>
      <c r="K23" s="503">
        <f>'Set-up and other costs'!$B$18*E23</f>
        <v>0</v>
      </c>
      <c r="M23" s="183" t="str">
        <f>'Look Up'!$A$17&amp;$D23</f>
        <v>Radiology</v>
      </c>
      <c r="W23" s="496"/>
    </row>
    <row r="24" spans="1:23" s="495" customFormat="1" ht="13">
      <c r="A24" s="278"/>
      <c r="B24" s="270"/>
      <c r="C24" s="270"/>
      <c r="D24" s="456"/>
      <c r="E24" s="504"/>
      <c r="J24" s="497"/>
      <c r="K24" s="503">
        <f>'Set-up and other costs'!$B$18*E24</f>
        <v>0</v>
      </c>
      <c r="M24" s="183" t="str">
        <f>'Look Up'!$A$17&amp;$D24</f>
        <v>Radiology</v>
      </c>
      <c r="W24" s="496"/>
    </row>
    <row r="25" spans="1:23" s="495" customFormat="1" ht="13">
      <c r="A25" s="278"/>
      <c r="B25" s="270"/>
      <c r="C25" s="270"/>
      <c r="D25" s="456"/>
      <c r="E25" s="504"/>
      <c r="J25" s="497"/>
      <c r="K25" s="503">
        <f>'Set-up and other costs'!$B$18*E25</f>
        <v>0</v>
      </c>
      <c r="M25" s="183" t="str">
        <f>'Look Up'!$A$17&amp;$D25</f>
        <v>Radiology</v>
      </c>
      <c r="W25" s="496"/>
    </row>
    <row r="26" spans="1:23" s="495" customFormat="1" ht="13">
      <c r="A26" s="278"/>
      <c r="B26" s="270"/>
      <c r="C26" s="270"/>
      <c r="D26" s="456"/>
      <c r="E26" s="504"/>
      <c r="J26" s="497"/>
      <c r="K26" s="503">
        <f>'Set-up and other costs'!$B$18*E26</f>
        <v>0</v>
      </c>
      <c r="M26" s="183" t="str">
        <f>'Look Up'!$A$17&amp;$D26</f>
        <v>Radiology</v>
      </c>
      <c r="W26" s="496"/>
    </row>
    <row r="27" spans="1:23" s="495" customFormat="1" ht="13">
      <c r="A27" s="278"/>
      <c r="B27" s="270"/>
      <c r="C27" s="270"/>
      <c r="D27" s="456"/>
      <c r="E27" s="504"/>
      <c r="J27" s="497"/>
      <c r="K27" s="503">
        <f>'Set-up and other costs'!$B$18*E27</f>
        <v>0</v>
      </c>
      <c r="M27" s="183" t="str">
        <f>'Look Up'!$A$17&amp;$D27</f>
        <v>Radiology</v>
      </c>
      <c r="W27" s="496"/>
    </row>
    <row r="28" spans="1:23" s="495" customFormat="1" ht="13">
      <c r="A28" s="278"/>
      <c r="B28" s="270"/>
      <c r="C28" s="270"/>
      <c r="D28" s="456"/>
      <c r="E28" s="504"/>
      <c r="J28" s="497"/>
      <c r="K28" s="503">
        <f>'Set-up and other costs'!$B$18*E28</f>
        <v>0</v>
      </c>
      <c r="M28" s="183" t="str">
        <f>'Look Up'!$A$17&amp;$D28</f>
        <v>Radiology</v>
      </c>
      <c r="W28" s="496"/>
    </row>
    <row r="29" spans="1:23" s="495" customFormat="1" ht="13">
      <c r="A29" s="278"/>
      <c r="B29" s="270"/>
      <c r="C29" s="270"/>
      <c r="D29" s="456"/>
      <c r="E29" s="504"/>
      <c r="J29" s="497"/>
      <c r="K29" s="503">
        <f>'Set-up and other costs'!$B$18*E29</f>
        <v>0</v>
      </c>
      <c r="M29" s="183" t="str">
        <f>'Look Up'!$A$17&amp;$D29</f>
        <v>Radiology</v>
      </c>
      <c r="W29" s="496"/>
    </row>
    <row r="30" spans="5:23" s="495" customFormat="1" ht="13">
      <c r="E30" s="699">
        <f>SUM(E23:E29)</f>
        <v>0</v>
      </c>
      <c r="J30" s="497"/>
      <c r="K30" s="700">
        <f>SUM(K23:K29)</f>
        <v>0</v>
      </c>
      <c r="W30" s="496"/>
    </row>
    <row r="31" spans="1:23" s="495" customFormat="1" ht="15.5">
      <c r="A31" s="494" t="s">
        <v>2035</v>
      </c>
      <c r="B31" s="494"/>
      <c r="C31" s="494"/>
      <c r="D31" s="494"/>
      <c r="E31" s="494"/>
      <c r="J31" s="494"/>
      <c r="K31" s="494"/>
      <c r="W31" s="496"/>
    </row>
    <row r="32" spans="5:11" ht="15.5">
      <c r="E32" s="494"/>
      <c r="F32" s="494"/>
      <c r="G32" s="494"/>
      <c r="H32" s="494"/>
      <c r="I32" s="494"/>
      <c r="J32" s="494"/>
      <c r="K32" s="494"/>
    </row>
    <row r="33" spans="1:23" s="495" customFormat="1" ht="39">
      <c r="A33" s="430" t="s">
        <v>24</v>
      </c>
      <c r="B33" s="430" t="s">
        <v>2034</v>
      </c>
      <c r="C33" s="430" t="s">
        <v>1926</v>
      </c>
      <c r="D33" s="430" t="s">
        <v>2059</v>
      </c>
      <c r="E33" s="498" t="s">
        <v>2033</v>
      </c>
      <c r="F33" s="498" t="s">
        <v>2032</v>
      </c>
      <c r="G33" s="430" t="s">
        <v>25</v>
      </c>
      <c r="H33" s="430" t="s">
        <v>27</v>
      </c>
      <c r="I33" s="430" t="s">
        <v>28</v>
      </c>
      <c r="J33" s="430" t="s">
        <v>2251</v>
      </c>
      <c r="K33" s="430" t="s">
        <v>2252</v>
      </c>
      <c r="W33" s="496"/>
    </row>
    <row r="34" spans="1:23" s="495" customFormat="1" ht="13">
      <c r="A34" s="278"/>
      <c r="B34" s="270"/>
      <c r="C34" s="270"/>
      <c r="D34" s="8"/>
      <c r="E34" s="499"/>
      <c r="F34" s="500"/>
      <c r="G34" s="279"/>
      <c r="H34" s="484"/>
      <c r="I34" s="485"/>
      <c r="J34" s="560">
        <f>I34*H34*G34</f>
        <v>0</v>
      </c>
      <c r="K34" s="503">
        <f>'Set-up and other costs'!$B$18*J34</f>
        <v>0</v>
      </c>
      <c r="M34" s="183" t="str">
        <f>'Look Up'!$A$17&amp;$D34</f>
        <v>Radiology</v>
      </c>
      <c r="W34" s="496"/>
    </row>
    <row r="35" spans="1:23" s="495" customFormat="1" ht="13">
      <c r="A35" s="278"/>
      <c r="B35" s="270"/>
      <c r="C35" s="270"/>
      <c r="D35" s="8"/>
      <c r="E35" s="499"/>
      <c r="F35" s="500"/>
      <c r="G35" s="279"/>
      <c r="H35" s="484"/>
      <c r="I35" s="485"/>
      <c r="J35" s="560">
        <f>I35*H35*G35</f>
        <v>0</v>
      </c>
      <c r="K35" s="503">
        <f>'Set-up and other costs'!$B$18*J35</f>
        <v>0</v>
      </c>
      <c r="M35" s="183" t="str">
        <f>'Look Up'!$A$17&amp;$D35</f>
        <v>Radiology</v>
      </c>
      <c r="W35" s="496"/>
    </row>
    <row r="36" spans="1:23" s="495" customFormat="1" ht="13">
      <c r="A36" s="278"/>
      <c r="B36" s="270"/>
      <c r="C36" s="270"/>
      <c r="D36" s="8"/>
      <c r="E36" s="499"/>
      <c r="F36" s="500"/>
      <c r="G36" s="279"/>
      <c r="H36" s="484"/>
      <c r="I36" s="485"/>
      <c r="J36" s="560">
        <f>I36*H36*G36</f>
        <v>0</v>
      </c>
      <c r="K36" s="503">
        <f>'Set-up and other costs'!$B$18*J36</f>
        <v>0</v>
      </c>
      <c r="M36" s="183" t="str">
        <f>'Look Up'!$A$17&amp;$D36</f>
        <v>Radiology</v>
      </c>
      <c r="W36" s="496"/>
    </row>
    <row r="37" spans="1:23" s="495" customFormat="1" ht="13">
      <c r="A37" s="278"/>
      <c r="B37" s="270"/>
      <c r="C37" s="270"/>
      <c r="D37" s="8"/>
      <c r="E37" s="499"/>
      <c r="F37" s="500"/>
      <c r="G37" s="279"/>
      <c r="H37" s="484"/>
      <c r="I37" s="485"/>
      <c r="J37" s="560">
        <f>I37*H37*G37</f>
        <v>0</v>
      </c>
      <c r="K37" s="503">
        <f>'Set-up and other costs'!$B$18*J37</f>
        <v>0</v>
      </c>
      <c r="M37" s="183" t="str">
        <f>'Look Up'!$A$17&amp;$D37</f>
        <v>Radiology</v>
      </c>
      <c r="W37" s="496"/>
    </row>
    <row r="38" spans="1:23" s="495" customFormat="1" ht="13">
      <c r="A38" s="278"/>
      <c r="B38" s="270"/>
      <c r="C38" s="270"/>
      <c r="D38" s="8"/>
      <c r="E38" s="500"/>
      <c r="F38" s="500"/>
      <c r="G38" s="290"/>
      <c r="H38" s="3"/>
      <c r="I38" s="483"/>
      <c r="J38" s="560">
        <f>I38*H38*G38</f>
        <v>0</v>
      </c>
      <c r="K38" s="503">
        <f>'Set-up and other costs'!$B$18*J38</f>
        <v>0</v>
      </c>
      <c r="M38" s="183" t="str">
        <f>'Look Up'!$A$17&amp;$D38</f>
        <v>Radiology</v>
      </c>
      <c r="W38" s="496"/>
    </row>
    <row r="39" spans="1:23" s="495" customFormat="1" ht="13">
      <c r="A39" s="278"/>
      <c r="B39" s="270"/>
      <c r="C39" s="270"/>
      <c r="D39" s="8"/>
      <c r="E39" s="500"/>
      <c r="F39" s="500"/>
      <c r="G39" s="290"/>
      <c r="H39" s="3"/>
      <c r="I39" s="483"/>
      <c r="J39" s="560">
        <f>I39*H39*G39</f>
        <v>0</v>
      </c>
      <c r="K39" s="503">
        <f>'Set-up and other costs'!$B$18*J39</f>
        <v>0</v>
      </c>
      <c r="M39" s="183" t="str">
        <f>'Look Up'!$A$17&amp;$D39</f>
        <v>Radiology</v>
      </c>
      <c r="W39" s="496"/>
    </row>
    <row r="40" spans="1:23" s="495" customFormat="1" ht="13">
      <c r="A40" s="278"/>
      <c r="B40" s="270"/>
      <c r="C40" s="270"/>
      <c r="D40" s="8"/>
      <c r="E40" s="500"/>
      <c r="F40" s="500"/>
      <c r="G40" s="290"/>
      <c r="H40" s="3"/>
      <c r="I40" s="483"/>
      <c r="J40" s="560">
        <f>I40*H40*G40</f>
        <v>0</v>
      </c>
      <c r="K40" s="503">
        <f>'Set-up and other costs'!$B$18*J40</f>
        <v>0</v>
      </c>
      <c r="M40" s="183" t="str">
        <f>'Look Up'!$A$17&amp;$D40</f>
        <v>Radiology</v>
      </c>
      <c r="W40" s="496"/>
    </row>
    <row r="41" spans="1:23" s="495" customFormat="1" ht="13">
      <c r="A41" s="278"/>
      <c r="B41" s="270"/>
      <c r="C41" s="270"/>
      <c r="D41" s="8"/>
      <c r="E41" s="500"/>
      <c r="F41" s="500"/>
      <c r="G41" s="290"/>
      <c r="H41" s="3"/>
      <c r="I41" s="483"/>
      <c r="J41" s="560">
        <f>I41*H41*G41</f>
        <v>0</v>
      </c>
      <c r="K41" s="503">
        <f>'Set-up and other costs'!$B$18*J41</f>
        <v>0</v>
      </c>
      <c r="M41" s="183" t="str">
        <f>'Look Up'!$A$17&amp;$D41</f>
        <v>Radiology</v>
      </c>
      <c r="W41" s="496"/>
    </row>
    <row r="42" spans="1:23" s="495" customFormat="1" ht="13">
      <c r="A42" s="278"/>
      <c r="B42" s="270"/>
      <c r="C42" s="270"/>
      <c r="D42" s="8"/>
      <c r="E42" s="500"/>
      <c r="F42" s="500"/>
      <c r="G42" s="290"/>
      <c r="H42" s="3"/>
      <c r="I42" s="483"/>
      <c r="J42" s="560">
        <f>I42*H42*G42</f>
        <v>0</v>
      </c>
      <c r="K42" s="503">
        <f>'Set-up and other costs'!$B$18*J42</f>
        <v>0</v>
      </c>
      <c r="M42" s="183" t="str">
        <f>'Look Up'!$A$17&amp;$D42</f>
        <v>Radiology</v>
      </c>
      <c r="W42" s="496"/>
    </row>
    <row r="43" spans="1:23" s="495" customFormat="1" ht="18.75" customHeight="1">
      <c r="A43" s="501" t="s">
        <v>34</v>
      </c>
      <c r="B43" s="501"/>
      <c r="C43" s="501"/>
      <c r="D43" s="501"/>
      <c r="J43" s="561">
        <f>SUM(J34:J42)</f>
        <v>0</v>
      </c>
      <c r="K43" s="503">
        <f>'Set-up and other costs'!$B$18*J43</f>
        <v>0</v>
      </c>
      <c r="W43" s="496"/>
    </row>
    <row r="45" spans="1:8">
      <c r="A45" s="349" t="s">
        <v>50</v>
      </c>
      <c r="H45" s="502"/>
    </row>
  </sheetData>
  <sheetProtection algorithmName="SHA-512" hashValue="RqAtb/aWPInOVO4muqydqqWTtguu7gsg8X1VVJAr0ehUxOpAa2N0DICEkKIU0KDW+oeT1GTz93xMCZtRgRyufA==" saltValue="C2zLxDg1ZIH7aIi2bkdn5Q==" spinCount="100000" sheet="1" objects="1" scenarios="1"/>
  <dataValidations count="7">
    <dataValidation type="whole" operator="greaterThan" allowBlank="1" showInputMessage="1" showErrorMessage="1" sqref="N16:R16 N15:Q15 L15:L29 K17 H17:I17 F5:G20">
      <formula1>0</formula1>
    </dataValidation>
    <dataValidation type="list" allowBlank="1" showInputMessage="1" showErrorMessage="1" sqref="B5:C21 B23:C28 B34:C38 B43:C44">
      <formula1>$W$2:$W$3</formula1>
    </dataValidation>
    <dataValidation type="list" allowBlank="1" showInputMessage="1" showErrorMessage="1" sqref="D5:D16 D23:D29 D34:D42">
      <formula1>AcCord</formula1>
    </dataValidation>
    <dataValidation type="list" allowBlank="1" showInputMessage="1" showErrorMessage="1" sqref="D43:D44 D17:D21">
      <formula1>'[1]Look Up'!#REF!</formula1>
    </dataValidation>
    <dataValidation type="list" allowBlank="1" showInputMessage="1" showErrorMessage="1" sqref="D34:D42">
      <formula1>'Look Up'!A36:A40</formula1>
    </dataValidation>
    <dataValidation type="list" allowBlank="1" showInputMessage="1" showErrorMessage="1" sqref="D5:D16">
      <formula1>'Look Up'!A5:A9</formula1>
    </dataValidation>
    <dataValidation type="list" allowBlank="1" showInputMessage="1" showErrorMessage="1" sqref="D23:D29">
      <formula1>'Look Up'!A23:A29</formula1>
    </dataValidation>
  </dataValidations>
  <pageMargins left="0.7" right="0.7" top="0.75" bottom="0.75" header="0.3" footer="0.3"/>
  <pageSetup paperSize="9" orientation="portrait"/>
  <headerFooter scaleWithDoc="1" alignWithMargins="0" differentFirst="0" differentOddEven="0"/>
  <extLst/>
</worksheet>
</file>

<file path=xl/worksheets/sheet1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U35"/>
  <sheetViews>
    <sheetView zoomScale="130" view="normal" workbookViewId="0">
      <selection pane="topLeft" activeCell="B21" sqref="B21"/>
    </sheetView>
  </sheetViews>
  <sheetFormatPr defaultColWidth="9.1796875" defaultRowHeight="12.5"/>
  <cols>
    <col min="1" max="1" width="66.7109375" style="807" bestFit="1" customWidth="1"/>
    <col min="2" max="5" width="14.41796875" style="807" customWidth="1"/>
    <col min="6" max="16384" width="9.140625" style="807" customWidth="1"/>
  </cols>
  <sheetData>
    <row r="1" spans="1:5" ht="54.75" customHeight="1" thickBot="1">
      <c r="A1" s="1061" t="s">
        <v>2453</v>
      </c>
      <c r="B1" s="1062"/>
      <c r="C1" s="1062"/>
      <c r="D1" s="1062"/>
      <c r="E1" s="1063"/>
    </row>
    <row r="2" spans="1:5" ht="131.25" customHeight="1">
      <c r="A2" s="820"/>
      <c r="B2" s="821" t="s">
        <v>2347</v>
      </c>
      <c r="C2" s="821" t="s">
        <v>2437</v>
      </c>
      <c r="D2" s="822" t="s">
        <v>2438</v>
      </c>
      <c r="E2" s="822" t="s">
        <v>2439</v>
      </c>
    </row>
    <row r="3" spans="1:5" ht="18.5">
      <c r="A3" s="808" t="s">
        <v>2440</v>
      </c>
      <c r="B3" s="809">
        <v>12.74</v>
      </c>
      <c r="C3" s="809">
        <v>1528.8000000000002</v>
      </c>
      <c r="D3" s="810">
        <v>152.88</v>
      </c>
      <c r="E3" s="810">
        <v>76.44</v>
      </c>
    </row>
    <row r="4" spans="1:5" ht="18.5">
      <c r="A4" s="808" t="s">
        <v>2441</v>
      </c>
      <c r="B4" s="809">
        <v>18.75</v>
      </c>
      <c r="C4" s="811"/>
      <c r="D4" s="810">
        <v>900</v>
      </c>
      <c r="E4" s="810">
        <v>450</v>
      </c>
    </row>
    <row r="5" spans="1:5" ht="18.5">
      <c r="A5" s="808" t="s">
        <v>2442</v>
      </c>
      <c r="B5" s="809">
        <v>5</v>
      </c>
      <c r="C5" s="811"/>
      <c r="D5" s="810">
        <v>160</v>
      </c>
      <c r="E5" s="810">
        <v>0</v>
      </c>
    </row>
    <row r="6" spans="1:5" ht="18.5">
      <c r="A6" s="808" t="s">
        <v>2443</v>
      </c>
      <c r="B6" s="809">
        <v>20</v>
      </c>
      <c r="C6" s="811"/>
      <c r="D6" s="810">
        <v>0</v>
      </c>
      <c r="E6" s="810">
        <v>320</v>
      </c>
    </row>
    <row r="7" spans="1:5" ht="18.5">
      <c r="A7" s="808" t="s">
        <v>2444</v>
      </c>
      <c r="B7" s="809">
        <v>20</v>
      </c>
      <c r="C7" s="811"/>
      <c r="D7" s="810">
        <v>0</v>
      </c>
      <c r="E7" s="810">
        <v>320</v>
      </c>
    </row>
    <row r="8" spans="1:5" ht="18.5">
      <c r="A8" s="808" t="s">
        <v>2445</v>
      </c>
      <c r="B8" s="809">
        <v>10</v>
      </c>
      <c r="C8" s="811"/>
      <c r="D8" s="810">
        <v>0</v>
      </c>
      <c r="E8" s="810">
        <v>160</v>
      </c>
    </row>
    <row r="9" spans="1:5" ht="18.5">
      <c r="A9" s="812"/>
      <c r="B9" s="813"/>
      <c r="C9" s="813"/>
      <c r="D9" s="813"/>
      <c r="E9" s="813"/>
    </row>
    <row r="10" spans="1:5" ht="18.5">
      <c r="A10" s="814" t="s">
        <v>2446</v>
      </c>
      <c r="B10" s="815"/>
      <c r="C10" s="815"/>
      <c r="D10" s="816"/>
      <c r="E10" s="816"/>
    </row>
    <row r="11" spans="1:5" ht="18.5">
      <c r="A11" s="817" t="s">
        <v>2447</v>
      </c>
      <c r="B11" s="818">
        <v>1758.1200000000003</v>
      </c>
      <c r="C11" s="815"/>
      <c r="D11" s="815"/>
      <c r="E11" s="819"/>
    </row>
    <row r="12" spans="1:5" ht="18.5">
      <c r="A12" s="817" t="s">
        <v>2448</v>
      </c>
      <c r="B12" s="818">
        <v>2310</v>
      </c>
      <c r="C12" s="816"/>
      <c r="D12" s="816"/>
      <c r="E12" s="819"/>
    </row>
    <row r="13" spans="1:5" ht="14.5">
      <c r="A13" s="812"/>
      <c r="B13" s="812"/>
      <c r="C13" s="812"/>
      <c r="D13" s="812"/>
      <c r="E13" s="812"/>
    </row>
    <row r="14" spans="1:5" ht="18.5">
      <c r="A14" s="1060" t="s">
        <v>2449</v>
      </c>
      <c r="B14" s="1060"/>
      <c r="C14" s="1060"/>
      <c r="D14" s="1060"/>
      <c r="E14" s="1060"/>
    </row>
    <row r="15" spans="1:5" ht="18.5">
      <c r="A15" s="1060" t="s">
        <v>2450</v>
      </c>
      <c r="B15" s="1060"/>
      <c r="C15" s="1060"/>
      <c r="D15" s="1060"/>
      <c r="E15" s="1060"/>
    </row>
    <row r="16" spans="1:5" ht="18.5">
      <c r="A16" s="1059" t="s">
        <v>2451</v>
      </c>
      <c r="B16" s="1059"/>
      <c r="C16" s="1059"/>
      <c r="D16" s="1059"/>
      <c r="E16" s="1059"/>
    </row>
    <row r="18" spans="1:21" ht="13">
      <c r="A18" s="824"/>
      <c r="B18" s="824"/>
      <c r="C18" s="824"/>
      <c r="D18" s="824"/>
      <c r="E18" s="824"/>
      <c r="F18" s="824"/>
      <c r="G18" s="824"/>
      <c r="H18" s="824"/>
      <c r="I18" s="824"/>
      <c r="J18" s="824"/>
      <c r="K18" s="824"/>
      <c r="L18" s="824"/>
      <c r="M18" s="824"/>
      <c r="N18" s="824"/>
      <c r="O18" s="824"/>
      <c r="P18" s="824"/>
      <c r="Q18" s="824"/>
      <c r="R18" s="824"/>
      <c r="S18" s="824"/>
      <c r="T18" s="824"/>
      <c r="U18" s="824"/>
    </row>
    <row r="19" spans="1:21" ht="13">
      <c r="A19" s="824"/>
      <c r="B19" s="824"/>
      <c r="C19" s="824"/>
      <c r="D19" s="824"/>
      <c r="E19" s="824"/>
      <c r="F19" s="824"/>
      <c r="G19" s="824"/>
      <c r="H19" s="824"/>
      <c r="I19" s="824"/>
      <c r="J19" s="824"/>
      <c r="K19" s="824"/>
      <c r="L19" s="824"/>
      <c r="M19" s="824"/>
      <c r="N19" s="824"/>
      <c r="O19" s="824"/>
      <c r="P19" s="824"/>
      <c r="Q19" s="824"/>
      <c r="R19" s="824"/>
      <c r="S19" s="824"/>
      <c r="T19" s="824"/>
      <c r="U19" s="824"/>
    </row>
    <row r="20" spans="1:21" ht="13">
      <c r="A20" s="824"/>
      <c r="B20" s="824"/>
      <c r="C20" s="824"/>
      <c r="D20" s="824"/>
      <c r="E20" s="824"/>
      <c r="F20" s="824"/>
      <c r="G20" s="824"/>
      <c r="H20" s="824"/>
      <c r="I20" s="824"/>
      <c r="J20" s="824"/>
      <c r="K20" s="824"/>
      <c r="L20" s="824"/>
      <c r="M20" s="824"/>
      <c r="N20" s="824"/>
      <c r="O20" s="824"/>
      <c r="P20" s="824"/>
      <c r="Q20" s="824"/>
      <c r="R20" s="824"/>
      <c r="S20" s="824"/>
      <c r="T20" s="824"/>
      <c r="U20" s="824"/>
    </row>
    <row r="21" spans="1:21" ht="13">
      <c r="A21" s="796" t="s">
        <v>2248</v>
      </c>
      <c r="B21" s="796">
        <v>1.0876</v>
      </c>
      <c r="C21" s="824"/>
      <c r="D21" s="824"/>
      <c r="E21" s="824"/>
      <c r="F21" s="824"/>
      <c r="G21" s="824"/>
      <c r="H21" s="824"/>
      <c r="I21" s="824"/>
      <c r="J21" s="824"/>
      <c r="K21" s="824"/>
      <c r="L21" s="824"/>
      <c r="M21" s="824"/>
      <c r="N21" s="824"/>
      <c r="O21" s="824"/>
      <c r="P21" s="824"/>
      <c r="Q21" s="824"/>
      <c r="R21" s="824"/>
      <c r="S21" s="824"/>
      <c r="T21" s="824"/>
      <c r="U21" s="824"/>
    </row>
    <row r="22" spans="1:21" ht="13">
      <c r="A22" s="796" t="s">
        <v>2249</v>
      </c>
      <c r="B22" s="796">
        <v>1</v>
      </c>
      <c r="C22" s="824"/>
      <c r="D22" s="824"/>
      <c r="E22" s="824"/>
      <c r="F22" s="824"/>
      <c r="G22" s="824"/>
      <c r="H22" s="824"/>
      <c r="I22" s="824"/>
      <c r="J22" s="824"/>
      <c r="K22" s="824"/>
      <c r="L22" s="824"/>
      <c r="M22" s="824"/>
      <c r="N22" s="824"/>
      <c r="O22" s="824"/>
      <c r="P22" s="824"/>
      <c r="Q22" s="824"/>
      <c r="R22" s="824"/>
      <c r="S22" s="824"/>
      <c r="T22" s="824"/>
      <c r="U22" s="824"/>
    </row>
    <row r="23" spans="1:21" ht="13">
      <c r="A23" s="796" t="s">
        <v>2250</v>
      </c>
      <c r="B23" s="796">
        <f>IF('Study Information &amp; rates'!B51="Yes",B21,B22)</f>
        <v>1</v>
      </c>
      <c r="C23" s="824"/>
      <c r="D23" s="824"/>
      <c r="E23" s="824"/>
      <c r="F23" s="824"/>
      <c r="G23" s="824"/>
      <c r="H23" s="824"/>
      <c r="I23" s="824"/>
      <c r="J23" s="824"/>
      <c r="K23" s="824"/>
      <c r="L23" s="824"/>
      <c r="M23" s="824"/>
      <c r="N23" s="824"/>
      <c r="O23" s="824"/>
      <c r="P23" s="824"/>
      <c r="Q23" s="824"/>
      <c r="R23" s="824"/>
      <c r="S23" s="824"/>
      <c r="T23" s="824"/>
      <c r="U23" s="824"/>
    </row>
    <row r="24" spans="1:21" ht="13.5" thickBot="1">
      <c r="A24" s="824"/>
      <c r="B24" s="824"/>
      <c r="C24" s="824"/>
      <c r="D24" s="824"/>
      <c r="E24" s="824"/>
      <c r="F24" s="824"/>
      <c r="G24" s="824"/>
      <c r="H24" s="824"/>
      <c r="I24" s="824"/>
      <c r="J24" s="824"/>
      <c r="K24" s="824"/>
      <c r="L24" s="824"/>
      <c r="M24" s="824"/>
      <c r="N24" s="824"/>
      <c r="O24" s="824"/>
      <c r="P24" s="824"/>
      <c r="Q24" s="824"/>
      <c r="R24" s="824"/>
      <c r="S24" s="824"/>
      <c r="T24" s="824"/>
      <c r="U24" s="824"/>
    </row>
    <row r="25" spans="1:21" ht="13.5" thickBot="1">
      <c r="A25" s="1057" t="s">
        <v>2335</v>
      </c>
      <c r="B25" s="1058"/>
      <c r="C25" s="824"/>
      <c r="D25" s="824"/>
      <c r="E25" s="824"/>
      <c r="F25" s="824"/>
      <c r="G25" s="824"/>
      <c r="H25" s="824"/>
      <c r="I25" s="824"/>
      <c r="J25" s="824"/>
      <c r="K25" s="824"/>
      <c r="L25" s="824"/>
      <c r="M25" s="824"/>
      <c r="N25" s="824"/>
      <c r="O25" s="824"/>
      <c r="P25" s="824"/>
      <c r="Q25" s="824"/>
      <c r="R25" s="824"/>
      <c r="S25" s="824"/>
      <c r="T25" s="824"/>
      <c r="U25" s="824"/>
    </row>
    <row r="26" spans="1:21" ht="13">
      <c r="A26" s="825" t="s">
        <v>2323</v>
      </c>
      <c r="B26" s="797">
        <v>20</v>
      </c>
      <c r="C26" s="824"/>
      <c r="D26" s="824"/>
      <c r="E26" s="824"/>
      <c r="F26" s="824"/>
      <c r="G26" s="824"/>
      <c r="H26" s="824"/>
      <c r="I26" s="824"/>
      <c r="J26" s="824"/>
      <c r="K26" s="824"/>
      <c r="L26" s="824"/>
      <c r="M26" s="824"/>
      <c r="N26" s="824"/>
      <c r="O26" s="824"/>
      <c r="P26" s="824"/>
      <c r="Q26" s="824"/>
      <c r="R26" s="824"/>
      <c r="S26" s="824"/>
      <c r="T26" s="824"/>
      <c r="U26" s="824"/>
    </row>
    <row r="27" spans="1:21" ht="13">
      <c r="A27" s="796" t="s">
        <v>2324</v>
      </c>
      <c r="B27" s="798">
        <v>150</v>
      </c>
      <c r="C27" s="824"/>
      <c r="D27" s="824"/>
      <c r="E27" s="824"/>
      <c r="F27" s="824"/>
      <c r="G27" s="824"/>
      <c r="H27" s="824"/>
      <c r="I27" s="824"/>
      <c r="J27" s="824"/>
      <c r="K27" s="824"/>
      <c r="L27" s="824"/>
      <c r="M27" s="824"/>
      <c r="N27" s="824"/>
      <c r="O27" s="824"/>
      <c r="P27" s="824"/>
      <c r="Q27" s="824"/>
      <c r="R27" s="824"/>
      <c r="S27" s="824"/>
      <c r="T27" s="824"/>
      <c r="U27" s="824"/>
    </row>
    <row r="28" spans="1:21" ht="13.5" thickBot="1">
      <c r="A28" s="826" t="s">
        <v>2325</v>
      </c>
      <c r="B28" s="799">
        <v>20</v>
      </c>
      <c r="C28" s="824"/>
      <c r="D28" s="824"/>
      <c r="E28" s="824"/>
      <c r="F28" s="824"/>
      <c r="G28" s="824"/>
      <c r="H28" s="824"/>
      <c r="I28" s="824"/>
      <c r="J28" s="824"/>
      <c r="K28" s="824"/>
      <c r="L28" s="824"/>
      <c r="M28" s="824"/>
      <c r="N28" s="824"/>
      <c r="O28" s="824"/>
      <c r="P28" s="824"/>
      <c r="Q28" s="824"/>
      <c r="R28" s="824"/>
      <c r="S28" s="824"/>
      <c r="T28" s="824"/>
      <c r="U28" s="824"/>
    </row>
    <row r="29" spans="1:21" ht="13.5" thickBot="1">
      <c r="A29" s="1057" t="s">
        <v>2336</v>
      </c>
      <c r="B29" s="1058"/>
      <c r="C29" s="824"/>
      <c r="D29" s="824"/>
      <c r="E29" s="824"/>
      <c r="F29" s="824"/>
      <c r="G29" s="824"/>
      <c r="H29" s="824"/>
      <c r="I29" s="824"/>
      <c r="J29" s="824"/>
      <c r="K29" s="824"/>
      <c r="L29" s="824"/>
      <c r="M29" s="824"/>
      <c r="N29" s="824"/>
      <c r="O29" s="824"/>
      <c r="P29" s="824"/>
      <c r="Q29" s="824"/>
      <c r="R29" s="824"/>
      <c r="S29" s="824"/>
      <c r="T29" s="824"/>
      <c r="U29" s="824"/>
    </row>
    <row r="30" spans="1:21" ht="13">
      <c r="A30" s="825" t="s">
        <v>2326</v>
      </c>
      <c r="B30" s="800" t="s">
        <v>2327</v>
      </c>
      <c r="C30" s="824"/>
      <c r="D30" s="824"/>
      <c r="E30" s="824"/>
      <c r="F30" s="824"/>
      <c r="G30" s="824"/>
      <c r="H30" s="824"/>
      <c r="I30" s="824"/>
      <c r="J30" s="824"/>
      <c r="K30" s="824"/>
      <c r="L30" s="824"/>
      <c r="M30" s="824"/>
      <c r="N30" s="824"/>
      <c r="O30" s="824"/>
      <c r="P30" s="824"/>
      <c r="Q30" s="824"/>
      <c r="R30" s="824"/>
      <c r="S30" s="824"/>
      <c r="T30" s="824"/>
      <c r="U30" s="824"/>
    </row>
    <row r="31" spans="1:21" ht="13">
      <c r="A31" s="796" t="s">
        <v>2329</v>
      </c>
      <c r="B31" s="801" t="s">
        <v>2328</v>
      </c>
      <c r="C31" s="824"/>
      <c r="D31" s="824"/>
      <c r="E31" s="824"/>
      <c r="F31" s="824"/>
      <c r="G31" s="824"/>
      <c r="H31" s="824"/>
      <c r="I31" s="824"/>
      <c r="J31" s="824"/>
      <c r="K31" s="824"/>
      <c r="L31" s="824"/>
      <c r="M31" s="824"/>
      <c r="N31" s="824"/>
      <c r="O31" s="824"/>
      <c r="P31" s="824"/>
      <c r="Q31" s="824"/>
      <c r="R31" s="824"/>
      <c r="S31" s="824"/>
      <c r="T31" s="824"/>
      <c r="U31" s="824"/>
    </row>
    <row r="32" spans="1:21" ht="13">
      <c r="A32" s="796" t="s">
        <v>2330</v>
      </c>
      <c r="B32" s="801" t="s">
        <v>2328</v>
      </c>
      <c r="C32" s="824" t="s">
        <v>2342</v>
      </c>
      <c r="D32" s="824"/>
      <c r="E32" s="824"/>
      <c r="F32" s="824"/>
      <c r="G32" s="824"/>
      <c r="H32" s="824"/>
      <c r="I32" s="824"/>
      <c r="J32" s="824"/>
      <c r="K32" s="824"/>
      <c r="L32" s="824"/>
      <c r="M32" s="824"/>
      <c r="N32" s="824"/>
      <c r="O32" s="824"/>
      <c r="P32" s="824"/>
      <c r="Q32" s="824"/>
      <c r="R32" s="824"/>
      <c r="S32" s="824"/>
      <c r="T32" s="824"/>
      <c r="U32" s="824"/>
    </row>
    <row r="33" spans="1:21" ht="13">
      <c r="A33" s="796" t="s">
        <v>2331</v>
      </c>
      <c r="B33" s="801" t="s">
        <v>2328</v>
      </c>
      <c r="C33" s="824" t="s">
        <v>2343</v>
      </c>
      <c r="D33" s="824"/>
      <c r="E33" s="824"/>
      <c r="F33" s="824"/>
      <c r="G33" s="824"/>
      <c r="H33" s="824"/>
      <c r="I33" s="824"/>
      <c r="J33" s="824"/>
      <c r="K33" s="824"/>
      <c r="L33" s="824"/>
      <c r="M33" s="824"/>
      <c r="N33" s="824"/>
      <c r="O33" s="824"/>
      <c r="P33" s="824"/>
      <c r="Q33" s="824"/>
      <c r="R33" s="824"/>
      <c r="S33" s="824"/>
      <c r="T33" s="824"/>
      <c r="U33" s="824"/>
    </row>
    <row r="34" spans="1:21" ht="13">
      <c r="A34" s="796" t="s">
        <v>2332</v>
      </c>
      <c r="B34" s="801" t="s">
        <v>2333</v>
      </c>
      <c r="C34" s="824"/>
      <c r="D34" s="824"/>
      <c r="E34" s="824"/>
      <c r="F34" s="824"/>
      <c r="G34" s="824"/>
      <c r="H34" s="824"/>
      <c r="I34" s="824"/>
      <c r="J34" s="824"/>
      <c r="K34" s="824"/>
      <c r="L34" s="824"/>
      <c r="M34" s="824"/>
      <c r="N34" s="824"/>
      <c r="O34" s="824"/>
      <c r="P34" s="824"/>
      <c r="Q34" s="824"/>
      <c r="R34" s="824"/>
      <c r="S34" s="824"/>
      <c r="T34" s="824"/>
      <c r="U34" s="824"/>
    </row>
    <row r="35" spans="1:21" ht="13">
      <c r="A35" s="796" t="s">
        <v>2334</v>
      </c>
      <c r="B35" s="798">
        <v>20</v>
      </c>
      <c r="C35" s="824"/>
      <c r="D35" s="824"/>
      <c r="E35" s="824"/>
      <c r="F35" s="824"/>
      <c r="G35" s="824"/>
      <c r="H35" s="824"/>
      <c r="I35" s="824"/>
      <c r="J35" s="824"/>
      <c r="K35" s="824"/>
      <c r="L35" s="824"/>
      <c r="M35" s="824"/>
      <c r="N35" s="824"/>
      <c r="O35" s="824"/>
      <c r="P35" s="824"/>
      <c r="Q35" s="824"/>
      <c r="R35" s="824"/>
      <c r="S35" s="824"/>
      <c r="T35" s="824"/>
      <c r="U35" s="824"/>
    </row>
  </sheetData>
  <sheetProtection password="9437" sheet="1" objects="1" scenarios="1"/>
  <mergeCells count="6">
    <mergeCell ref="A29:B29"/>
    <mergeCell ref="A16:E16"/>
    <mergeCell ref="A14:E14"/>
    <mergeCell ref="A15:E15"/>
    <mergeCell ref="A1:E1"/>
    <mergeCell ref="A25:B25"/>
  </mergeCells>
  <hyperlinks>
    <hyperlink ref="A14" r:id="rId1" display="https://www.nhsemployers.org/pay-pensions-and-reward/agenda-for-change/pay-scales/hourly"/>
    <hyperlink ref="A15" r:id="rId2" location="Remote_working_costs" display="https://www.nihr.ac.uk/documents/centre-for-engagement-and-dissemination-recognition-payments-for-public-contributors/24979#Remote_working_costs"/>
  </hyperlinks>
  <pageMargins left="0.7" right="0.7" top="0.75" bottom="0.75" header="0.3" footer="0.3"/>
  <headerFooter scaleWithDoc="1" alignWithMargins="0" differentFirst="0" differentOddEven="0"/>
  <legacyDrawing r:id="rId3"/>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
    <tabColor rgb="FFFF0000"/>
  </sheetPr>
  <dimension ref="A1:V105"/>
  <sheetViews>
    <sheetView zoomScale="80" view="normal" tabSelected="1" workbookViewId="0">
      <selection pane="topLeft" activeCell="D9" sqref="D9"/>
    </sheetView>
  </sheetViews>
  <sheetFormatPr defaultColWidth="14.81640625" customHeight="true" defaultRowHeight="19.5"/>
  <cols>
    <col min="1" max="1" width="64.84765625" style="731" customWidth="1"/>
    <col min="2" max="2" width="57.27734375" style="711" customWidth="1"/>
    <col min="3" max="3" width="42.7109375" style="354" customWidth="1"/>
    <col min="4" max="4" width="28.27734375" style="353" customWidth="1"/>
    <col min="5" max="5" width="26.41796875" style="353" customWidth="1"/>
    <col min="6" max="7" width="14.84765625" style="353" customWidth="1"/>
    <col min="8" max="8" width="20.27734375" style="353" customWidth="1"/>
    <col min="9" max="9" width="14.84765625" style="353" customWidth="1"/>
    <col min="10" max="10" width="35" style="353" customWidth="1"/>
    <col min="11" max="20" width="14.84765625" style="353" customWidth="1"/>
    <col min="21" max="21" width="0" style="353" hidden="1" customWidth="1"/>
    <col min="22" max="22" width="14.84765625" style="353" hidden="1" customWidth="1"/>
    <col min="23" max="16384" width="14.84765625" style="353" customWidth="1"/>
  </cols>
  <sheetData>
    <row r="1" spans="1:3" ht="14.5">
      <c r="A1" s="998"/>
      <c r="B1" s="999"/>
      <c r="C1" s="804"/>
    </row>
    <row r="2" spans="1:3" ht="14.5">
      <c r="A2" s="998"/>
      <c r="B2" s="999"/>
      <c r="C2" s="804"/>
    </row>
    <row r="3" spans="1:3" ht="16.5" customHeight="1">
      <c r="A3" s="1026" t="s">
        <v>2186</v>
      </c>
      <c r="B3" s="1026"/>
      <c r="C3" s="823" t="s">
        <v>2491</v>
      </c>
    </row>
    <row r="4" spans="1:3" ht="16.5" customHeight="1">
      <c r="A4" s="1027" t="s">
        <v>2187</v>
      </c>
      <c r="B4" s="1027"/>
      <c r="C4" s="353"/>
    </row>
    <row r="5" spans="2:3" ht="2.25" customHeight="1">
      <c r="B5" s="731"/>
      <c r="C5" s="353"/>
    </row>
    <row r="6" spans="1:2" ht="22.5" customHeight="1">
      <c r="A6" s="1030" t="s">
        <v>2265</v>
      </c>
      <c r="B6" s="1030"/>
    </row>
    <row r="7" spans="1:4" ht="28.5" customHeight="1">
      <c r="A7" s="717" t="s">
        <v>10</v>
      </c>
      <c r="B7" s="710"/>
      <c r="C7" s="711"/>
      <c r="D7" s="711"/>
    </row>
    <row r="8" spans="1:4" ht="15" customHeight="1">
      <c r="A8" s="717" t="s">
        <v>1988</v>
      </c>
      <c r="B8" s="709"/>
      <c r="C8" s="711"/>
      <c r="D8" s="711"/>
    </row>
    <row r="9" spans="1:4" ht="15" customHeight="1">
      <c r="A9" s="717" t="s">
        <v>2452</v>
      </c>
      <c r="B9" s="710"/>
      <c r="C9" s="711"/>
      <c r="D9" s="711"/>
    </row>
    <row r="10" spans="1:4" ht="29" customHeight="1">
      <c r="A10" s="717" t="s">
        <v>2477</v>
      </c>
      <c r="B10" s="710"/>
      <c r="C10" s="718"/>
      <c r="D10" s="711"/>
    </row>
    <row r="11" spans="1:4" ht="25" customHeight="1">
      <c r="A11" s="717" t="s">
        <v>2478</v>
      </c>
      <c r="B11" s="709"/>
      <c r="C11" s="718"/>
      <c r="D11" s="711"/>
    </row>
    <row r="12" spans="1:22" ht="15" customHeight="1">
      <c r="A12" s="717" t="s">
        <v>2460</v>
      </c>
      <c r="B12" s="712" t="s">
        <v>2461</v>
      </c>
      <c r="C12" s="711"/>
      <c r="D12" s="711"/>
      <c r="V12" s="353" t="s">
        <v>1912</v>
      </c>
    </row>
    <row r="13" spans="1:22" ht="15" customHeight="1">
      <c r="A13" s="717" t="s">
        <v>2254</v>
      </c>
      <c r="B13" s="712" t="s">
        <v>2255</v>
      </c>
      <c r="C13" s="711"/>
      <c r="D13" s="711"/>
      <c r="V13" s="353" t="s">
        <v>1913</v>
      </c>
    </row>
    <row r="14" spans="1:4" ht="15" customHeight="1">
      <c r="A14" s="717" t="s">
        <v>2261</v>
      </c>
      <c r="B14" s="712" t="s">
        <v>2274</v>
      </c>
      <c r="C14" s="711"/>
      <c r="D14" s="711"/>
    </row>
    <row r="15" spans="1:4" ht="30.75" customHeight="1">
      <c r="A15" s="717" t="s">
        <v>2294</v>
      </c>
      <c r="B15" s="709"/>
      <c r="C15" s="711"/>
      <c r="D15" s="711"/>
    </row>
    <row r="16" spans="1:4" ht="15" customHeight="1">
      <c r="A16" s="717" t="s">
        <v>2025</v>
      </c>
      <c r="B16" s="710"/>
      <c r="C16" s="711"/>
      <c r="D16" s="711"/>
    </row>
    <row r="17" spans="1:4" ht="27.75" customHeight="1">
      <c r="A17" s="717" t="s">
        <v>2188</v>
      </c>
      <c r="B17" s="710"/>
      <c r="C17" s="711"/>
      <c r="D17" s="711"/>
    </row>
    <row r="18" spans="1:11" ht="27" customHeight="1">
      <c r="A18" s="717" t="s">
        <v>2262</v>
      </c>
      <c r="B18" s="709"/>
      <c r="C18" s="711"/>
      <c r="D18" s="711"/>
      <c r="K18" s="355"/>
    </row>
    <row r="19" spans="1:11" ht="16.5" customHeight="1">
      <c r="A19" s="719" t="s">
        <v>2263</v>
      </c>
      <c r="B19" s="710"/>
      <c r="C19" s="711"/>
      <c r="D19" s="711"/>
      <c r="K19" s="355"/>
    </row>
    <row r="20" spans="1:4" ht="15" customHeight="1">
      <c r="A20" s="717" t="s">
        <v>2275</v>
      </c>
      <c r="B20" s="713"/>
      <c r="C20" s="711"/>
      <c r="D20" s="711"/>
    </row>
    <row r="21" spans="1:4" ht="15" customHeight="1">
      <c r="A21" s="717" t="s">
        <v>2253</v>
      </c>
      <c r="B21" s="713"/>
      <c r="C21" s="711"/>
      <c r="D21" s="711"/>
    </row>
    <row r="22" spans="1:4" ht="15" customHeight="1">
      <c r="A22" s="717" t="s">
        <v>2190</v>
      </c>
      <c r="B22" s="712"/>
      <c r="C22" s="711"/>
      <c r="D22" s="711"/>
    </row>
    <row r="23" spans="1:4" ht="15" customHeight="1">
      <c r="A23" s="717" t="s">
        <v>2191</v>
      </c>
      <c r="B23" s="720"/>
      <c r="C23" s="711"/>
      <c r="D23" s="711"/>
    </row>
    <row r="24" spans="1:4" ht="15" customHeight="1">
      <c r="A24" s="717" t="s">
        <v>2189</v>
      </c>
      <c r="B24" s="714">
        <f>DATE(YEAR(B22),MONTH(B22)+B23,DAY(B22))</f>
        <v>0</v>
      </c>
      <c r="C24" s="711"/>
      <c r="D24" s="711"/>
    </row>
    <row r="25" spans="1:4" ht="15" customHeight="1">
      <c r="A25" s="717" t="s">
        <v>2264</v>
      </c>
      <c r="B25" s="709"/>
      <c r="C25" s="711"/>
      <c r="D25" s="711"/>
    </row>
    <row r="26" spans="1:4" ht="10.5" customHeight="1">
      <c r="A26" s="721"/>
      <c r="C26" s="711"/>
      <c r="D26" s="711"/>
    </row>
    <row r="27" spans="1:8" ht="13">
      <c r="A27" s="722" t="s">
        <v>1900</v>
      </c>
      <c r="B27" s="709"/>
      <c r="C27" s="718" t="s">
        <v>2431</v>
      </c>
      <c r="D27" s="1024" t="s">
        <v>2489</v>
      </c>
      <c r="E27" s="1025"/>
      <c r="F27" s="1025"/>
      <c r="G27" s="1025"/>
      <c r="H27" s="1025"/>
    </row>
    <row r="28" spans="1:11" ht="13">
      <c r="A28" s="722" t="s">
        <v>1960</v>
      </c>
      <c r="B28" s="709"/>
      <c r="C28" s="718" t="s">
        <v>2431</v>
      </c>
      <c r="D28" s="711"/>
      <c r="K28" s="355"/>
    </row>
    <row r="29" spans="1:4" ht="13">
      <c r="A29" s="722" t="s">
        <v>1961</v>
      </c>
      <c r="B29" s="723"/>
      <c r="C29" s="718" t="s">
        <v>2431</v>
      </c>
      <c r="D29" s="711"/>
    </row>
    <row r="30" spans="1:4" ht="13">
      <c r="A30" s="722" t="s">
        <v>1962</v>
      </c>
      <c r="B30" s="723"/>
      <c r="C30" s="718" t="s">
        <v>2431</v>
      </c>
      <c r="D30" s="711"/>
    </row>
    <row r="31" spans="1:4" ht="13">
      <c r="A31" s="722" t="s">
        <v>1963</v>
      </c>
      <c r="B31" s="723"/>
      <c r="C31" s="718" t="s">
        <v>2431</v>
      </c>
      <c r="D31" s="711"/>
    </row>
    <row r="32" spans="1:11" ht="13">
      <c r="A32" s="722" t="s">
        <v>1901</v>
      </c>
      <c r="B32" s="724">
        <f>SUM(B27:B31)</f>
        <v>0</v>
      </c>
      <c r="C32" s="711"/>
      <c r="D32" s="711"/>
      <c r="K32" s="355"/>
    </row>
    <row r="33" spans="1:4" customHeight="1">
      <c r="A33" s="719" t="s">
        <v>2308</v>
      </c>
      <c r="B33" s="710"/>
      <c r="C33" s="711"/>
      <c r="D33" s="711"/>
    </row>
    <row r="34" spans="1:4" customHeight="1">
      <c r="A34" s="990" t="s">
        <v>2309</v>
      </c>
      <c r="B34" s="991"/>
      <c r="C34" s="345"/>
      <c r="D34" s="711"/>
    </row>
    <row r="35" spans="1:4" customHeight="1" thickBot="1">
      <c r="A35" s="992"/>
      <c r="B35" s="993"/>
      <c r="C35" s="711"/>
      <c r="D35" s="711"/>
    </row>
    <row r="36" spans="1:4" ht="40.5" customHeight="1">
      <c r="A36" s="996" t="s">
        <v>2427</v>
      </c>
      <c r="B36" s="994" t="s">
        <v>2429</v>
      </c>
      <c r="C36" s="1031" t="s">
        <v>2466</v>
      </c>
      <c r="D36" s="711"/>
    </row>
    <row r="37" spans="1:4" ht="38" thickBot="1">
      <c r="A37" s="997" t="s">
        <v>2428</v>
      </c>
      <c r="B37" s="995" t="s">
        <v>2430</v>
      </c>
      <c r="C37" s="1031"/>
      <c r="D37" s="711"/>
    </row>
    <row r="38" spans="1:4" customHeight="1" hidden="1">
      <c r="A38" s="711"/>
      <c r="C38" s="711"/>
      <c r="D38" s="711"/>
    </row>
    <row r="39" spans="1:4" customHeight="1" hidden="1">
      <c r="A39" s="711"/>
      <c r="C39" s="711"/>
      <c r="D39" s="711"/>
    </row>
    <row r="40" spans="1:4" customHeight="1" hidden="1">
      <c r="A40" s="711"/>
      <c r="C40" s="711"/>
      <c r="D40" s="711"/>
    </row>
    <row r="41" spans="1:4" customHeight="1">
      <c r="A41" s="711"/>
      <c r="C41" s="711"/>
      <c r="D41" s="711"/>
    </row>
    <row r="42" spans="1:4" customHeight="1">
      <c r="A42" s="1028" t="s">
        <v>2260</v>
      </c>
      <c r="B42" s="1028"/>
      <c r="C42" s="711"/>
      <c r="D42" s="711"/>
    </row>
    <row r="43" spans="1:4" customHeight="1">
      <c r="A43" s="725" t="s">
        <v>2120</v>
      </c>
      <c r="B43" s="715" t="s">
        <v>2167</v>
      </c>
      <c r="C43" s="711"/>
      <c r="D43" s="711"/>
    </row>
    <row r="44" spans="1:4" customHeight="1">
      <c r="A44" s="725" t="s">
        <v>1911</v>
      </c>
      <c r="B44" s="716" t="s">
        <v>1913</v>
      </c>
      <c r="C44" s="718" t="s">
        <v>2316</v>
      </c>
      <c r="D44" s="711"/>
    </row>
    <row r="45" spans="1:4" customHeight="1">
      <c r="A45" s="725" t="s">
        <v>2192</v>
      </c>
      <c r="B45" s="716" t="s">
        <v>1913</v>
      </c>
      <c r="C45" s="718" t="s">
        <v>2195</v>
      </c>
      <c r="D45" s="711"/>
    </row>
    <row r="46" spans="1:4" customHeight="1">
      <c r="A46" s="719" t="s">
        <v>2465</v>
      </c>
      <c r="B46" s="1009" t="s">
        <v>1913</v>
      </c>
      <c r="C46" s="711"/>
      <c r="D46" s="711"/>
    </row>
    <row r="47" spans="1:4" customHeight="1">
      <c r="A47" s="726"/>
      <c r="C47" s="711"/>
      <c r="D47" s="711"/>
    </row>
    <row r="48" spans="1:4" customHeight="1">
      <c r="A48" s="727" t="s">
        <v>2193</v>
      </c>
      <c r="B48" s="728"/>
      <c r="C48" s="711"/>
      <c r="D48" s="711"/>
    </row>
    <row r="49" spans="1:4" customHeight="1">
      <c r="A49" s="727" t="s">
        <v>2293</v>
      </c>
      <c r="B49" s="728"/>
      <c r="C49" s="711"/>
      <c r="D49" s="711"/>
    </row>
    <row r="50" spans="1:4" customHeight="1">
      <c r="A50" s="729" t="s">
        <v>2194</v>
      </c>
      <c r="B50" s="730"/>
      <c r="C50" s="711"/>
      <c r="D50" s="711"/>
    </row>
    <row r="51" spans="1:1" customHeight="1">
      <c r="A51" s="732"/>
    </row>
    <row r="52" spans="1:2" s="352" customFormat="1" customHeight="1" hidden="1">
      <c r="A52" s="733"/>
      <c r="B52" s="733"/>
    </row>
    <row r="53" spans="1:2" s="352" customFormat="1" customHeight="1" hidden="1">
      <c r="A53" s="733"/>
      <c r="B53" s="733"/>
    </row>
    <row r="54" spans="1:20" s="352" customFormat="1" customHeight="1" hidden="1">
      <c r="A54" s="733"/>
      <c r="B54" s="733"/>
      <c r="L54" s="359"/>
      <c r="M54" s="359"/>
      <c r="N54" s="359"/>
      <c r="O54" s="359"/>
      <c r="P54" s="359"/>
      <c r="Q54" s="359"/>
      <c r="R54" s="353"/>
      <c r="S54" s="353"/>
      <c r="T54" s="353"/>
    </row>
    <row r="55" spans="1:20" s="352" customFormat="1" customHeight="1" hidden="1">
      <c r="A55" s="733"/>
      <c r="B55" s="733"/>
      <c r="L55" s="350"/>
      <c r="M55" s="360"/>
      <c r="N55" s="360"/>
      <c r="O55" s="350"/>
      <c r="P55" s="360"/>
      <c r="Q55" s="361"/>
      <c r="R55" s="353"/>
      <c r="S55" s="353"/>
      <c r="T55" s="353"/>
    </row>
    <row r="56" spans="1:20" s="352" customFormat="1" customHeight="1" hidden="1">
      <c r="A56" s="733"/>
      <c r="B56" s="733"/>
      <c r="L56" s="351"/>
      <c r="M56" s="362"/>
      <c r="N56" s="362"/>
      <c r="O56" s="351"/>
      <c r="P56" s="362"/>
      <c r="Q56" s="363"/>
      <c r="R56" s="353"/>
      <c r="S56" s="353"/>
      <c r="T56" s="353"/>
    </row>
    <row r="57" spans="1:20" s="352" customFormat="1" customHeight="1" hidden="1">
      <c r="A57" s="733"/>
      <c r="B57" s="733"/>
      <c r="L57" s="366"/>
      <c r="M57" s="366"/>
      <c r="N57" s="366"/>
      <c r="O57" s="366"/>
      <c r="P57" s="366"/>
      <c r="Q57" s="353"/>
      <c r="R57" s="353"/>
      <c r="S57" s="353"/>
      <c r="T57" s="353"/>
    </row>
    <row r="58" spans="1:20" s="352" customFormat="1" customHeight="1" hidden="1">
      <c r="A58" s="733"/>
      <c r="B58" s="733"/>
      <c r="L58" s="362"/>
      <c r="M58" s="362"/>
      <c r="N58" s="351"/>
      <c r="O58" s="362"/>
      <c r="P58" s="363"/>
      <c r="Q58" s="353"/>
      <c r="R58" s="353"/>
      <c r="S58" s="353"/>
      <c r="T58" s="353"/>
    </row>
    <row r="59" spans="1:20" s="352" customFormat="1" customHeight="1" hidden="1">
      <c r="A59" s="733"/>
      <c r="B59" s="733"/>
      <c r="L59" s="362"/>
      <c r="M59" s="362"/>
      <c r="N59" s="351"/>
      <c r="O59" s="362"/>
      <c r="P59" s="363"/>
      <c r="Q59" s="353"/>
      <c r="R59" s="353"/>
      <c r="S59" s="353"/>
      <c r="T59" s="353"/>
    </row>
    <row r="60" spans="1:2" s="352" customFormat="1" customHeight="1" hidden="1">
      <c r="A60" s="733"/>
      <c r="B60" s="733"/>
    </row>
    <row r="61" spans="1:2" s="352" customFormat="1" customHeight="1" hidden="1">
      <c r="A61" s="733"/>
      <c r="B61" s="733"/>
    </row>
    <row r="62" spans="1:2" s="352" customFormat="1" customHeight="1" hidden="1">
      <c r="A62" s="733"/>
      <c r="B62" s="733"/>
    </row>
    <row r="63" spans="1:20" s="352" customFormat="1" customHeight="1" hidden="1">
      <c r="A63" s="733"/>
      <c r="B63" s="733"/>
      <c r="L63" s="370"/>
      <c r="M63" s="370"/>
      <c r="N63" s="371"/>
      <c r="O63" s="370"/>
      <c r="P63" s="372"/>
      <c r="Q63" s="353"/>
      <c r="R63" s="353"/>
      <c r="S63" s="353"/>
      <c r="T63" s="353"/>
    </row>
    <row r="64" spans="1:18" s="352" customFormat="1" customHeight="1" hidden="1">
      <c r="A64" s="733"/>
      <c r="B64" s="733"/>
      <c r="L64" s="353"/>
      <c r="M64" s="353"/>
      <c r="N64" s="353"/>
      <c r="O64" s="353"/>
      <c r="P64" s="353"/>
      <c r="Q64" s="353"/>
      <c r="R64" s="353"/>
    </row>
    <row r="65" spans="1:2" s="352" customFormat="1" customHeight="1" hidden="1">
      <c r="A65" s="733"/>
      <c r="B65" s="733"/>
    </row>
    <row r="66" spans="1:2" s="352" customFormat="1" customHeight="1" hidden="1">
      <c r="A66" s="733"/>
      <c r="B66" s="733"/>
    </row>
    <row r="67" spans="1:2" s="352" customFormat="1" customHeight="1" hidden="1">
      <c r="A67" s="733"/>
      <c r="B67" s="733"/>
    </row>
    <row r="68" spans="1:2" s="352" customFormat="1" customHeight="1" hidden="1">
      <c r="A68" s="733"/>
      <c r="B68" s="733"/>
    </row>
    <row r="69" spans="1:2" s="352" customFormat="1" customHeight="1" hidden="1">
      <c r="A69" s="733"/>
      <c r="B69" s="733"/>
    </row>
    <row r="70" spans="1:2" s="352" customFormat="1" customHeight="1" hidden="1">
      <c r="A70" s="733"/>
      <c r="B70" s="733"/>
    </row>
    <row r="71" spans="1:1" customHeight="1" hidden="1">
      <c r="A71"/>
    </row>
    <row r="72" spans="1:2" s="352" customFormat="1" ht="44.25" customHeight="1" hidden="1">
      <c r="A72" s="733"/>
      <c r="B72" s="733"/>
    </row>
    <row r="73" spans="1:2" s="352" customFormat="1" customHeight="1" hidden="1">
      <c r="A73" s="733"/>
      <c r="B73" s="733"/>
    </row>
    <row r="74" spans="1:2" s="352" customFormat="1" customHeight="1" hidden="1">
      <c r="A74" s="733"/>
      <c r="B74" s="733"/>
    </row>
    <row r="75" spans="1:2" s="352" customFormat="1" ht="39.75" customHeight="1" hidden="1">
      <c r="A75" s="733"/>
      <c r="B75" s="733"/>
    </row>
    <row r="76" spans="1:2" s="352" customFormat="1" ht="42" customHeight="1" hidden="1">
      <c r="A76" s="733"/>
      <c r="B76" s="733"/>
    </row>
    <row r="77" spans="1:2" s="352" customFormat="1" customHeight="1" hidden="1">
      <c r="A77" s="733"/>
      <c r="B77" s="733"/>
    </row>
    <row r="78" spans="1:1" customHeight="1" hidden="1">
      <c r="A78"/>
    </row>
    <row r="79" spans="1:1" customHeight="1" hidden="1">
      <c r="A79"/>
    </row>
    <row r="80" spans="1:1" customHeight="1" hidden="1">
      <c r="A80"/>
    </row>
    <row r="81" spans="1:11" customHeight="1" hidden="1">
      <c r="A81" s="756" t="s">
        <v>40</v>
      </c>
      <c r="B81" s="757"/>
      <c r="C81" s="757"/>
      <c r="D81" s="758"/>
      <c r="E81" s="352"/>
      <c r="F81" s="352"/>
      <c r="G81" s="358"/>
      <c r="H81" s="352"/>
      <c r="I81" s="352"/>
      <c r="J81" s="352"/>
      <c r="K81" s="352"/>
    </row>
    <row r="82" spans="1:11" customHeight="1" hidden="1">
      <c r="A82" s="734" t="s">
        <v>41</v>
      </c>
      <c r="B82" s="753">
        <f>B18</f>
        <v>0</v>
      </c>
      <c r="C82" s="754"/>
      <c r="D82" s="755"/>
      <c r="E82" s="352"/>
      <c r="G82" s="357"/>
      <c r="H82" s="352"/>
      <c r="I82" s="352"/>
      <c r="J82" s="352"/>
      <c r="K82" s="359"/>
    </row>
    <row r="83" spans="1:11" customHeight="1" hidden="1">
      <c r="A83" s="734" t="s">
        <v>42</v>
      </c>
      <c r="B83" s="753"/>
      <c r="C83" s="754"/>
      <c r="D83" s="755"/>
      <c r="E83" s="352"/>
      <c r="H83" s="352"/>
      <c r="I83" s="352"/>
      <c r="J83" s="352"/>
      <c r="K83" s="360"/>
    </row>
    <row r="84" spans="1:11" customHeight="1" hidden="1">
      <c r="A84" s="734" t="s">
        <v>2153</v>
      </c>
      <c r="B84" s="753"/>
      <c r="C84" s="754"/>
      <c r="D84" s="755"/>
      <c r="E84" s="352"/>
      <c r="H84" s="352"/>
      <c r="I84" s="352"/>
      <c r="J84" s="352"/>
      <c r="K84" s="362"/>
    </row>
    <row r="85" spans="1:11" customHeight="1" hidden="1">
      <c r="A85" s="734" t="s">
        <v>43</v>
      </c>
      <c r="B85" s="753"/>
      <c r="C85" s="754"/>
      <c r="D85" s="755"/>
      <c r="E85" s="352"/>
      <c r="F85" s="364"/>
      <c r="G85" s="364"/>
      <c r="I85" s="365"/>
      <c r="J85" s="366"/>
      <c r="K85" s="366"/>
    </row>
    <row r="86" spans="1:11" customHeight="1" hidden="1">
      <c r="A86" s="734" t="s">
        <v>44</v>
      </c>
      <c r="B86" s="753"/>
      <c r="C86" s="754"/>
      <c r="D86" s="755"/>
      <c r="E86" s="352"/>
      <c r="F86" s="364"/>
      <c r="G86" s="364"/>
      <c r="I86" s="367"/>
      <c r="J86" s="362"/>
      <c r="K86" s="351"/>
    </row>
    <row r="87" spans="1:11" customHeight="1" hidden="1">
      <c r="A87" s="734" t="s">
        <v>59</v>
      </c>
      <c r="B87" s="753"/>
      <c r="C87" s="754"/>
      <c r="D87" s="755"/>
      <c r="E87" s="368"/>
      <c r="F87" s="364"/>
      <c r="G87" s="364"/>
      <c r="H87" s="369"/>
      <c r="I87" s="366"/>
      <c r="J87" s="362"/>
      <c r="K87" s="351"/>
    </row>
    <row r="88" spans="1:11" customHeight="1" hidden="1">
      <c r="A88" s="735" t="s">
        <v>82</v>
      </c>
      <c r="B88" s="736"/>
      <c r="C88" s="292" t="s">
        <v>2184</v>
      </c>
      <c r="D88" s="292"/>
      <c r="E88" s="292"/>
      <c r="F88" s="292"/>
      <c r="G88" s="292"/>
      <c r="H88" s="292"/>
      <c r="I88" s="293"/>
      <c r="J88" s="1029" t="s">
        <v>2131</v>
      </c>
      <c r="K88" s="352"/>
    </row>
    <row r="89" spans="1:11" customHeight="1" hidden="1">
      <c r="A89" s="735" t="s">
        <v>2129</v>
      </c>
      <c r="B89" s="736"/>
      <c r="C89" s="292" t="s">
        <v>2182</v>
      </c>
      <c r="D89" s="292"/>
      <c r="E89" s="292"/>
      <c r="F89" s="292"/>
      <c r="G89" s="292"/>
      <c r="H89" s="292"/>
      <c r="I89" s="293"/>
      <c r="J89" s="1029"/>
      <c r="K89" s="352"/>
    </row>
    <row r="90" spans="1:11" customHeight="1" hidden="1">
      <c r="A90" s="737" t="s">
        <v>2130</v>
      </c>
      <c r="B90" s="738"/>
      <c r="C90" s="375" t="s">
        <v>2185</v>
      </c>
      <c r="D90" s="375"/>
      <c r="E90" s="375"/>
      <c r="F90" s="375"/>
      <c r="G90" s="375"/>
      <c r="H90" s="375"/>
      <c r="I90" s="376"/>
      <c r="J90" s="1029"/>
      <c r="K90" s="352"/>
    </row>
    <row r="91" spans="1:11" customHeight="1" hidden="1">
      <c r="A91" s="739"/>
      <c r="B91" s="740"/>
      <c r="C91" s="356"/>
      <c r="D91" s="352"/>
      <c r="E91" s="352"/>
      <c r="F91" s="364"/>
      <c r="G91" s="364"/>
      <c r="H91" s="364"/>
      <c r="I91" s="362"/>
      <c r="J91" s="370"/>
      <c r="K91" s="371"/>
    </row>
    <row r="92" spans="1:9" customHeight="1" hidden="1">
      <c r="A92" s="739"/>
      <c r="B92" s="740"/>
      <c r="C92" s="356"/>
      <c r="D92" s="352"/>
      <c r="E92" s="352"/>
      <c r="H92" s="364"/>
      <c r="I92" s="362"/>
    </row>
    <row r="93" spans="1:11" customHeight="1" hidden="1" thickBot="1">
      <c r="A93" s="739"/>
      <c r="B93" s="740"/>
      <c r="C93" s="356"/>
      <c r="D93" s="352"/>
      <c r="E93" s="352"/>
      <c r="F93" s="352"/>
      <c r="G93" s="352"/>
      <c r="H93" s="364"/>
      <c r="I93" s="370"/>
      <c r="J93" s="352"/>
      <c r="K93" s="352"/>
    </row>
    <row r="94" spans="1:11" customHeight="1" hidden="1">
      <c r="A94" s="741" t="s">
        <v>2121</v>
      </c>
      <c r="B94" s="742"/>
      <c r="C94" s="377"/>
      <c r="D94" s="378"/>
      <c r="E94" s="378" t="s">
        <v>2143</v>
      </c>
      <c r="F94" s="379" t="s">
        <v>2183</v>
      </c>
      <c r="G94" s="352"/>
      <c r="J94" s="352"/>
      <c r="K94" s="352"/>
    </row>
    <row r="95" spans="1:11" customHeight="1" hidden="1">
      <c r="A95" s="743">
        <v>1</v>
      </c>
      <c r="B95" s="744" t="s">
        <v>2122</v>
      </c>
      <c r="C95" s="380">
        <v>10000</v>
      </c>
      <c r="D95" s="381" t="s">
        <v>2125</v>
      </c>
      <c r="E95" s="382">
        <v>72.49</v>
      </c>
      <c r="F95" s="379">
        <v>62.72</v>
      </c>
      <c r="G95" s="352"/>
      <c r="H95" s="352"/>
      <c r="I95" s="352"/>
      <c r="J95" s="352"/>
      <c r="K95" s="352"/>
    </row>
    <row r="96" spans="1:11" customHeight="1" hidden="1">
      <c r="A96" s="743">
        <v>2</v>
      </c>
      <c r="B96" s="744" t="s">
        <v>2123</v>
      </c>
      <c r="C96" s="380">
        <v>10000</v>
      </c>
      <c r="D96" s="381" t="s">
        <v>2126</v>
      </c>
      <c r="E96" s="382">
        <v>253.7</v>
      </c>
      <c r="F96" s="379">
        <v>219.51</v>
      </c>
      <c r="G96" s="352"/>
      <c r="H96" s="352"/>
      <c r="I96" s="352"/>
      <c r="J96" s="352"/>
      <c r="K96" s="352"/>
    </row>
    <row r="97" spans="1:11" customHeight="1" hidden="1" thickBot="1">
      <c r="A97" s="745">
        <v>3</v>
      </c>
      <c r="B97" s="746" t="s">
        <v>2124</v>
      </c>
      <c r="C97" s="383"/>
      <c r="D97" s="384" t="s">
        <v>2127</v>
      </c>
      <c r="E97" s="385">
        <v>797.35</v>
      </c>
      <c r="F97" s="379">
        <v>689.89</v>
      </c>
      <c r="G97" s="352"/>
      <c r="H97" s="352"/>
      <c r="I97" s="352"/>
      <c r="J97" s="352"/>
      <c r="K97" s="352"/>
    </row>
    <row r="98" spans="1:11" customHeight="1" hidden="1">
      <c r="A98" s="739"/>
      <c r="B98" s="740"/>
      <c r="C98" s="356"/>
      <c r="D98" s="352"/>
      <c r="E98" s="352"/>
      <c r="F98" s="352"/>
      <c r="G98" s="352"/>
      <c r="H98" s="352"/>
      <c r="I98" s="352"/>
      <c r="J98" s="352"/>
      <c r="K98" s="352"/>
    </row>
    <row r="99" spans="1:5" customHeight="1" hidden="1">
      <c r="A99" s="747"/>
      <c r="B99" s="748" t="s">
        <v>2486</v>
      </c>
      <c r="E99" s="823"/>
    </row>
    <row r="100" spans="1:11" ht="90" customHeight="1" hidden="1">
      <c r="A100" s="749" t="s">
        <v>12</v>
      </c>
      <c r="B100" s="750" t="s">
        <v>2490</v>
      </c>
      <c r="C100" s="386" t="s">
        <v>2295</v>
      </c>
      <c r="D100" s="387" t="s">
        <v>2468</v>
      </c>
      <c r="E100" s="1006" t="s">
        <v>2470</v>
      </c>
      <c r="F100" s="386" t="s">
        <v>2469</v>
      </c>
      <c r="G100" s="373"/>
      <c r="H100" s="352"/>
      <c r="I100" s="352"/>
      <c r="J100" s="352"/>
      <c r="K100" s="352"/>
    </row>
    <row r="101" spans="1:11" customHeight="1" hidden="1">
      <c r="A101" s="749" t="s">
        <v>7</v>
      </c>
      <c r="B101" s="751" t="str">
        <f>FIXED(B102/60)</f>
        <v>1.35</v>
      </c>
      <c r="C101" s="388" t="str">
        <f>FIXED(C102/60)</f>
        <v>0.64</v>
      </c>
      <c r="D101" s="388" t="str">
        <f>FIXED(D102/60)</f>
        <v>0.46</v>
      </c>
      <c r="E101" s="1007" t="str">
        <f>FIXED(E102/60)</f>
        <v>0.54</v>
      </c>
      <c r="F101" s="388" t="str">
        <f>FIXED(F102/60)</f>
        <v>0.37</v>
      </c>
      <c r="G101" s="373"/>
      <c r="H101" s="352"/>
      <c r="I101" s="352"/>
      <c r="J101" s="352"/>
      <c r="K101" s="352"/>
    </row>
    <row r="102" spans="1:11" s="222" customFormat="1" customHeight="1" hidden="1">
      <c r="A102" s="1002" t="s">
        <v>6</v>
      </c>
      <c r="B102" s="1003">
        <v>81.04</v>
      </c>
      <c r="C102" s="1004">
        <v>38.47</v>
      </c>
      <c r="D102" s="1004">
        <v>27.48</v>
      </c>
      <c r="E102" s="1004">
        <v>32.39</v>
      </c>
      <c r="F102" s="1004">
        <v>22.18</v>
      </c>
      <c r="G102" s="1005"/>
      <c r="H102" s="309"/>
      <c r="I102" s="309"/>
      <c r="J102" s="309"/>
      <c r="K102" s="309"/>
    </row>
    <row r="103" spans="1:11" customHeight="1" hidden="1">
      <c r="A103" s="752" t="s">
        <v>13</v>
      </c>
      <c r="B103" s="751" t="str">
        <f>FIXED((B101*0.287)+B101)</f>
        <v>1.74</v>
      </c>
      <c r="C103" s="388" t="str">
        <f>FIXED((C101*0.287)+C101)</f>
        <v>0.82</v>
      </c>
      <c r="D103" s="388" t="str">
        <f>FIXED((D101*0.287)+D101)</f>
        <v>0.59</v>
      </c>
      <c r="E103" s="1007" t="str">
        <f>FIXED((E101*0.287)+E101)</f>
        <v>0.69</v>
      </c>
      <c r="F103" s="388" t="str">
        <f>FIXED((F101*0.287)+F101)</f>
        <v>0.48</v>
      </c>
      <c r="G103" s="373"/>
      <c r="H103" s="352"/>
      <c r="I103" s="352"/>
      <c r="J103" s="352"/>
      <c r="K103" s="352"/>
    </row>
    <row r="104" spans="1:11" customHeight="1" hidden="1">
      <c r="A104" s="752" t="s">
        <v>14</v>
      </c>
      <c r="B104" s="751" t="str">
        <f>FIXED((B102*0.287)+B102)</f>
        <v>104.30</v>
      </c>
      <c r="C104" s="388" t="str">
        <f>FIXED((C102*0.287)+C102)</f>
        <v>49.51</v>
      </c>
      <c r="D104" s="388" t="str">
        <f>FIXED((D102*0.287)+D102)</f>
        <v>35.37</v>
      </c>
      <c r="E104" s="1007" t="str">
        <f>FIXED((E102*0.287)+E102)</f>
        <v>41.69</v>
      </c>
      <c r="F104" s="388" t="str">
        <f>FIXED((F102*0.287)+F102)</f>
        <v>28.55</v>
      </c>
      <c r="G104" s="374" t="s">
        <v>2487</v>
      </c>
      <c r="H104" s="358"/>
      <c r="I104" s="358"/>
      <c r="J104" s="358"/>
      <c r="K104" s="358"/>
    </row>
    <row r="105" spans="1:11" customHeight="1" hidden="1">
      <c r="A105" s="739"/>
      <c r="B105" s="740"/>
      <c r="C105" s="356"/>
      <c r="D105" s="352"/>
      <c r="E105" s="352"/>
      <c r="F105" s="352"/>
      <c r="G105" s="352"/>
      <c r="H105" s="352"/>
      <c r="I105" s="352"/>
      <c r="J105" s="352"/>
      <c r="K105" s="352"/>
    </row>
  </sheetData>
  <sheetProtection algorithmName="SHA-512" hashValue="WeQp9WO/VJIeIfu6lkDeYfrAI2jYPfv27KQBNXR07Du420auBb9q42WCWS/KaVp1WQRzC4YJpKgsez61MoGQBQ==" saltValue="Re+SPx3IUkCXNC+cxN9sdA==" spinCount="100000" sheet="1" objects="1" scenarios="1"/>
  <mergeCells count="6">
    <mergeCell ref="A3:B3"/>
    <mergeCell ref="A4:B4"/>
    <mergeCell ref="A42:B42"/>
    <mergeCell ref="J88:J90"/>
    <mergeCell ref="A6:B6"/>
    <mergeCell ref="C36:C37"/>
  </mergeCells>
  <conditionalFormatting sqref="B88:B90">
    <cfRule type="cellIs" dxfId="60" operator="equal" priority="1">
      <formula>"Yes"</formula>
    </cfRule>
  </conditionalFormatting>
  <dataValidations count="7">
    <dataValidation type="list" allowBlank="1" showInputMessage="1" showErrorMessage="1" sqref="B25">
      <formula1>Emily</formula1>
    </dataValidation>
    <dataValidation type="list" allowBlank="1" showInputMessage="1" showErrorMessage="1" sqref="B15">
      <formula1>"Full, EOI or Outline, Full 1 Stage        "</formula1>
    </dataValidation>
    <dataValidation type="list" allowBlank="1" showInputMessage="1" showErrorMessage="1" sqref="B45">
      <formula1>"Yes,No"</formula1>
    </dataValidation>
    <dataValidation type="list" allowBlank="1" showInputMessage="1" showErrorMessage="1" sqref="B88:B90">
      <formula1>$V$12:$V$19</formula1>
    </dataValidation>
    <dataValidation type="list" allowBlank="1" showInputMessage="1" showErrorMessage="1" sqref="B44">
      <formula1>$V$12:$V$13</formula1>
    </dataValidation>
    <dataValidation type="list" allowBlank="1" showInputMessage="1" showErrorMessage="1" sqref="B19 B33 B46">
      <formula1>'Look Up'!$A$33:$A$34</formula1>
    </dataValidation>
    <dataValidation type="list" allowBlank="1" showInputMessage="1" showErrorMessage="1" sqref="B43">
      <formula1>'Look Up'!$A$35:$A$40</formula1>
    </dataValidation>
  </dataValidations>
  <hyperlinks>
    <hyperlink ref="A19" r:id="rId1" display="Is the funder a member of Association of Medical Research Charities (AMRC) "/>
    <hyperlink ref="B36" r:id="rId2" display="https://www.nihr.ac.uk/documents/researchers/collaborations-services-and-support-for-your-research/run-your-study/excess-treatment-costs/SoECAT%20Tool%20A.xlsx"/>
    <hyperlink ref="B37" r:id="rId3" display="https://www.nihr.ac.uk/documents/researchers/collaborations-services-and-support-for-your-research/run-your-study/excess-treatment-costs/SoECAT%20Tool%20B.xlsx"/>
  </hyperlinks>
  <pageMargins left="0.70866141732283472" right="0.70866141732283472" top="0.74803149606299213" bottom="0.74803149606299213" header="0.31496062992125984" footer="0.31496062992125984"/>
  <pageSetup paperSize="9" scale="70" orientation="landscape"/>
  <headerFooter scaleWithDoc="1" alignWithMargins="0" differentFirst="0" differentOddEven="0"/>
  <extLst/>
</worksheet>
</file>

<file path=xl/worksheets/sheet2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6">
    <tabColor rgb="FFFF0000"/>
  </sheetPr>
  <dimension ref="A1:K129"/>
  <sheetViews>
    <sheetView zoomScale="90" view="normal" workbookViewId="0">
      <selection pane="topLeft" activeCell="I7" sqref="I7"/>
    </sheetView>
  </sheetViews>
  <sheetFormatPr defaultColWidth="9.1796875" defaultRowHeight="13"/>
  <cols>
    <col min="1" max="1" width="40.84765625" style="827" customWidth="1"/>
    <col min="2" max="2" width="18" style="5" customWidth="1"/>
    <col min="3" max="3" width="16" style="5" customWidth="1"/>
    <col min="4" max="4" width="37.140625" style="5" customWidth="1"/>
    <col min="5" max="5" width="13.27734375" style="5" customWidth="1"/>
    <col min="6" max="6" width="14.7109375" style="5" customWidth="1"/>
    <col min="7" max="16384" width="9.140625" style="5" customWidth="1"/>
  </cols>
  <sheetData>
    <row r="1" spans="1:2" ht="12.75" customHeight="1">
      <c r="A1" s="832" t="s">
        <v>26</v>
      </c>
      <c r="B1" s="21"/>
    </row>
    <row r="2" ht="12.75" customHeight="1"/>
    <row r="3" spans="1:4" ht="27" customHeight="1">
      <c r="A3" s="962" t="s">
        <v>24</v>
      </c>
      <c r="B3" s="962" t="s">
        <v>1974</v>
      </c>
      <c r="C3" s="963" t="s">
        <v>25</v>
      </c>
      <c r="D3" s="964" t="s">
        <v>2457</v>
      </c>
    </row>
    <row r="4" spans="1:4" ht="87" customHeight="1">
      <c r="A4" s="965" t="s">
        <v>2455</v>
      </c>
      <c r="B4" s="8" t="s">
        <v>2013</v>
      </c>
      <c r="C4" s="794">
        <f>IF('R&amp;D Overheads data'!B2&lt;5000,500,0)</f>
        <v>500</v>
      </c>
      <c r="D4" s="1021" t="s">
        <v>2462</v>
      </c>
    </row>
    <row r="5" spans="1:4" ht="39">
      <c r="A5" s="965" t="str">
        <f>'Total Summary and Budget'!A35</f>
        <v>Sponsorship Fee or R&amp;D management fee, as applicable</v>
      </c>
      <c r="B5" s="8" t="s">
        <v>2013</v>
      </c>
      <c r="C5" s="986">
        <f>B35</f>
        <v>0</v>
      </c>
      <c r="D5" s="1022" t="s">
        <v>2481</v>
      </c>
    </row>
    <row r="6" spans="1:4" ht="28.5" customHeight="1">
      <c r="A6" s="965" t="s">
        <v>1985</v>
      </c>
      <c r="B6" s="8" t="s">
        <v>2013</v>
      </c>
      <c r="C6" s="324">
        <v>0</v>
      </c>
      <c r="D6" s="1023" t="s">
        <v>2483</v>
      </c>
    </row>
    <row r="7" spans="1:4">
      <c r="A7" s="965" t="str">
        <f>'Total Summary and Budget'!A43</f>
        <v>Other institutions cost</v>
      </c>
      <c r="B7" s="8" t="s">
        <v>2013</v>
      </c>
      <c r="C7" s="786">
        <f>SUM('UHS Individual cost'!B75:B102)</f>
        <v>0</v>
      </c>
      <c r="D7" s="499"/>
    </row>
    <row r="8" spans="1:4">
      <c r="A8" s="708"/>
      <c r="B8" s="8"/>
      <c r="C8" s="970"/>
      <c r="D8" s="499"/>
    </row>
    <row r="9" spans="1:4">
      <c r="A9" s="708"/>
      <c r="B9" s="8"/>
      <c r="C9" s="970"/>
      <c r="D9" s="499"/>
    </row>
    <row r="10" spans="3:4">
      <c r="C10" s="795">
        <f>SUM(C4:C9)</f>
        <v>500</v>
      </c>
      <c r="D10" s="499"/>
    </row>
    <row r="11" spans="2:3">
      <c r="B11" s="280"/>
      <c r="C11" s="282"/>
    </row>
    <row r="12" spans="1:1" hidden="1">
      <c r="A12"/>
    </row>
    <row r="13" spans="1:1" hidden="1">
      <c r="A13"/>
    </row>
    <row r="14" spans="1:1" hidden="1">
      <c r="A14"/>
    </row>
    <row r="15" spans="1:1" hidden="1">
      <c r="A15"/>
    </row>
    <row r="16" spans="1:2" hidden="1">
      <c r="A16" s="828" t="s">
        <v>2248</v>
      </c>
      <c r="B16" s="796">
        <v>1.0876</v>
      </c>
    </row>
    <row r="17" spans="1:2" hidden="1">
      <c r="A17" s="828" t="s">
        <v>2249</v>
      </c>
      <c r="B17" s="796">
        <v>1</v>
      </c>
    </row>
    <row r="18" spans="1:2" hidden="1">
      <c r="A18" s="828" t="s">
        <v>2250</v>
      </c>
      <c r="B18" s="796">
        <f>IF('Study Information &amp; rates'!B45="Yes",B16,B17)</f>
        <v>1</v>
      </c>
    </row>
    <row r="19" spans="1:1" ht="13.5" hidden="1" thickBot="1">
      <c r="A19"/>
    </row>
    <row r="20" spans="1:2" ht="13.5" hidden="1" thickBot="1">
      <c r="A20" s="1080" t="s">
        <v>2335</v>
      </c>
      <c r="B20" s="1081"/>
    </row>
    <row r="21" spans="1:2" hidden="1">
      <c r="A21" s="829" t="s">
        <v>2323</v>
      </c>
      <c r="B21" s="797">
        <v>20</v>
      </c>
    </row>
    <row r="22" spans="1:2" hidden="1">
      <c r="A22" s="828" t="s">
        <v>2324</v>
      </c>
      <c r="B22" s="798">
        <v>150</v>
      </c>
    </row>
    <row r="23" spans="1:2" ht="13.5" hidden="1" thickBot="1">
      <c r="A23" s="830" t="s">
        <v>2325</v>
      </c>
      <c r="B23" s="799">
        <v>20</v>
      </c>
    </row>
    <row r="24" spans="1:2" ht="13.5" hidden="1" thickBot="1">
      <c r="A24" s="1080" t="s">
        <v>2336</v>
      </c>
      <c r="B24" s="1081"/>
    </row>
    <row r="25" spans="1:2" hidden="1">
      <c r="A25" s="829" t="s">
        <v>2326</v>
      </c>
      <c r="B25" s="800" t="s">
        <v>2327</v>
      </c>
    </row>
    <row r="26" spans="1:2" hidden="1">
      <c r="A26" s="828" t="s">
        <v>2329</v>
      </c>
      <c r="B26" s="801" t="s">
        <v>2328</v>
      </c>
    </row>
    <row r="27" spans="1:3" hidden="1">
      <c r="A27" s="828" t="s">
        <v>2330</v>
      </c>
      <c r="B27" s="801" t="s">
        <v>2328</v>
      </c>
      <c r="C27" s="5" t="s">
        <v>2342</v>
      </c>
    </row>
    <row r="28" spans="1:3" hidden="1">
      <c r="A28" s="828" t="s">
        <v>2331</v>
      </c>
      <c r="B28" s="801" t="s">
        <v>2328</v>
      </c>
      <c r="C28" s="5" t="s">
        <v>2343</v>
      </c>
    </row>
    <row r="29" spans="1:2" hidden="1">
      <c r="A29" s="828" t="s">
        <v>2332</v>
      </c>
      <c r="B29" s="801" t="s">
        <v>2333</v>
      </c>
    </row>
    <row r="30" spans="1:2" hidden="1">
      <c r="A30" s="828" t="s">
        <v>2334</v>
      </c>
      <c r="B30" s="798">
        <v>20</v>
      </c>
    </row>
    <row r="31" spans="1:1" hidden="1">
      <c r="A31"/>
    </row>
    <row r="33" spans="1:2" ht="31.5" customHeight="1">
      <c r="A33" s="1084" t="s">
        <v>2484</v>
      </c>
      <c r="B33" s="1084"/>
    </row>
    <row r="34" spans="1:2" ht="88.5" customHeight="1" thickBot="1">
      <c r="A34" s="1083" t="s">
        <v>2485</v>
      </c>
      <c r="B34" s="1083"/>
    </row>
    <row r="35" spans="1:11" ht="21.5" thickBot="1">
      <c r="A35" s="966" t="s">
        <v>2463</v>
      </c>
      <c r="B35" s="967"/>
      <c r="C35" s="802"/>
      <c r="D35" s="1019" t="s">
        <v>2482</v>
      </c>
      <c r="E35" s="1019"/>
      <c r="F35" s="1020"/>
      <c r="G35" s="1020"/>
      <c r="H35" s="1020"/>
      <c r="I35" s="1020"/>
      <c r="J35" s="1018"/>
      <c r="K35" s="1018"/>
    </row>
    <row r="36" spans="1:5" ht="21">
      <c r="A36" s="831"/>
      <c r="B36" s="803"/>
      <c r="C36" s="802"/>
      <c r="D36" s="802"/>
      <c r="E36" s="802"/>
    </row>
    <row r="37" spans="1:5" ht="21" hidden="1">
      <c r="A37" s="968" t="s">
        <v>2344</v>
      </c>
      <c r="B37" s="803"/>
      <c r="C37" s="802"/>
      <c r="D37" s="802"/>
      <c r="E37" s="802"/>
    </row>
    <row r="38" spans="1:5" ht="43.5" hidden="1">
      <c r="A38" s="969" t="s">
        <v>2345</v>
      </c>
      <c r="B38" s="803"/>
      <c r="C38" s="802"/>
      <c r="D38" s="802"/>
      <c r="E38" s="802"/>
    </row>
    <row r="39" spans="1:5" ht="21" hidden="1">
      <c r="A39" s="969"/>
      <c r="B39" s="803"/>
      <c r="C39" s="802"/>
      <c r="D39" s="802"/>
      <c r="E39" s="802"/>
    </row>
    <row r="40" spans="1:5" ht="29" hidden="1">
      <c r="A40" s="969" t="s">
        <v>2346</v>
      </c>
      <c r="B40" s="803"/>
      <c r="C40" s="802"/>
      <c r="D40" s="802"/>
      <c r="E40" s="802"/>
    </row>
    <row r="41" spans="1:6" ht="15" hidden="1" thickBot="1">
      <c r="A41" s="971"/>
      <c r="B41" s="972"/>
      <c r="C41" s="972"/>
      <c r="D41" s="972"/>
      <c r="E41" s="972"/>
      <c r="F41" s="495"/>
    </row>
    <row r="42" spans="1:6" ht="15" hidden="1" thickBot="1">
      <c r="A42" s="973" t="s">
        <v>24</v>
      </c>
      <c r="B42" s="1082" t="s">
        <v>2347</v>
      </c>
      <c r="C42" s="974"/>
      <c r="D42" s="974" t="s">
        <v>2348</v>
      </c>
      <c r="E42" s="974" t="s">
        <v>2349</v>
      </c>
      <c r="F42" s="975" t="s">
        <v>2457</v>
      </c>
    </row>
    <row r="43" spans="1:6" ht="15" hidden="1" thickBot="1">
      <c r="A43" s="1064" t="s">
        <v>2350</v>
      </c>
      <c r="B43" s="1066"/>
      <c r="C43" s="1066"/>
      <c r="D43" s="1066"/>
      <c r="E43" s="1065"/>
      <c r="F43" s="976"/>
    </row>
    <row r="44" spans="1:6" ht="58" hidden="1">
      <c r="A44" s="977" t="s">
        <v>2351</v>
      </c>
      <c r="B44" s="1075">
        <v>3035.5769230769229</v>
      </c>
      <c r="C44" s="1076"/>
      <c r="D44" s="1074" t="s">
        <v>2352</v>
      </c>
      <c r="E44" s="978" t="s">
        <v>2353</v>
      </c>
      <c r="F44" s="979"/>
    </row>
    <row r="45" spans="1:6" ht="29" hidden="1">
      <c r="A45" s="977" t="s">
        <v>2354</v>
      </c>
      <c r="B45" s="1077"/>
      <c r="C45" s="1078"/>
      <c r="D45" s="977"/>
      <c r="E45" s="978" t="s">
        <v>2355</v>
      </c>
      <c r="F45" s="980"/>
    </row>
    <row r="46" spans="1:6" ht="15" hidden="1" thickBot="1">
      <c r="A46" s="981"/>
      <c r="B46" s="1079"/>
      <c r="C46" s="985"/>
      <c r="D46" s="981"/>
      <c r="E46" s="982"/>
      <c r="F46" s="983"/>
    </row>
    <row r="47" spans="1:6" ht="58" hidden="1">
      <c r="A47" s="977" t="s">
        <v>2356</v>
      </c>
      <c r="B47" s="1075">
        <v>1517.7884615384614</v>
      </c>
      <c r="C47" s="1076"/>
      <c r="D47" s="1074" t="s">
        <v>2352</v>
      </c>
      <c r="E47" s="978" t="s">
        <v>2353</v>
      </c>
      <c r="F47" s="979"/>
    </row>
    <row r="48" spans="1:6" ht="29" hidden="1">
      <c r="A48" s="977" t="s">
        <v>2357</v>
      </c>
      <c r="B48" s="1077"/>
      <c r="C48" s="1078"/>
      <c r="D48" s="977"/>
      <c r="E48" s="978" t="s">
        <v>2358</v>
      </c>
      <c r="F48" s="980"/>
    </row>
    <row r="49" spans="1:6" ht="15" hidden="1" thickBot="1">
      <c r="A49" s="981"/>
      <c r="B49" s="1079"/>
      <c r="C49" s="985"/>
      <c r="D49" s="981"/>
      <c r="E49" s="982"/>
      <c r="F49" s="983"/>
    </row>
    <row r="50" spans="1:6" ht="43.5" hidden="1">
      <c r="A50" s="1074" t="s">
        <v>2359</v>
      </c>
      <c r="B50" s="1075">
        <v>288.83076923076919</v>
      </c>
      <c r="C50" s="1076"/>
      <c r="D50" s="1074" t="s">
        <v>2360</v>
      </c>
      <c r="E50" s="978" t="s">
        <v>2361</v>
      </c>
      <c r="F50" s="979"/>
    </row>
    <row r="51" spans="1:6" ht="15" hidden="1" thickBot="1">
      <c r="A51" s="981"/>
      <c r="B51" s="1079"/>
      <c r="C51" s="985"/>
      <c r="D51" s="981"/>
      <c r="E51" s="984" t="s">
        <v>2362</v>
      </c>
      <c r="F51" s="983"/>
    </row>
    <row r="52" spans="1:6" ht="43.5" hidden="1">
      <c r="A52" s="1074" t="s">
        <v>2363</v>
      </c>
      <c r="B52" s="1075">
        <v>1837.6153846153843</v>
      </c>
      <c r="C52" s="1076"/>
      <c r="D52" s="1074" t="s">
        <v>2364</v>
      </c>
      <c r="E52" s="978" t="s">
        <v>2365</v>
      </c>
      <c r="F52" s="979"/>
    </row>
    <row r="53" spans="1:6" ht="14.5" hidden="1">
      <c r="A53" s="977"/>
      <c r="B53" s="1077"/>
      <c r="C53" s="1078"/>
      <c r="D53" s="977"/>
      <c r="E53" s="978" t="s">
        <v>2366</v>
      </c>
      <c r="F53" s="980"/>
    </row>
    <row r="54" spans="1:6" ht="15" hidden="1" thickBot="1">
      <c r="A54" s="981"/>
      <c r="B54" s="1079"/>
      <c r="C54" s="985"/>
      <c r="D54" s="981"/>
      <c r="E54" s="984"/>
      <c r="F54" s="983"/>
    </row>
    <row r="55" spans="1:6" ht="29" hidden="1">
      <c r="A55" s="1074" t="s">
        <v>2367</v>
      </c>
      <c r="B55" s="1075">
        <v>1837.6153846153843</v>
      </c>
      <c r="C55" s="1076"/>
      <c r="D55" s="1074" t="s">
        <v>2368</v>
      </c>
      <c r="E55" s="978" t="s">
        <v>2369</v>
      </c>
      <c r="F55" s="979"/>
    </row>
    <row r="56" spans="1:6" ht="14.5" hidden="1">
      <c r="A56" s="977"/>
      <c r="B56" s="1077"/>
      <c r="C56" s="1078"/>
      <c r="D56" s="977"/>
      <c r="E56" s="978" t="s">
        <v>2366</v>
      </c>
      <c r="F56" s="980"/>
    </row>
    <row r="57" spans="1:6" ht="15" hidden="1" thickBot="1">
      <c r="A57" s="981"/>
      <c r="B57" s="1079"/>
      <c r="C57" s="985"/>
      <c r="D57" s="981"/>
      <c r="E57" s="984"/>
      <c r="F57" s="983"/>
    </row>
    <row r="58" spans="1:6" ht="29" hidden="1">
      <c r="A58" s="1074" t="s">
        <v>2370</v>
      </c>
      <c r="B58" s="1075">
        <v>433.24615384615379</v>
      </c>
      <c r="C58" s="1076"/>
      <c r="D58" s="1074" t="s">
        <v>2371</v>
      </c>
      <c r="E58" s="978" t="s">
        <v>2372</v>
      </c>
      <c r="F58" s="979"/>
    </row>
    <row r="59" spans="1:6" ht="14.5" hidden="1">
      <c r="A59" s="977"/>
      <c r="B59" s="1077"/>
      <c r="C59" s="1078"/>
      <c r="D59" s="977"/>
      <c r="E59" s="978" t="s">
        <v>2373</v>
      </c>
      <c r="F59" s="980"/>
    </row>
    <row r="60" spans="1:6" ht="15" hidden="1" thickBot="1">
      <c r="A60" s="981"/>
      <c r="B60" s="1079"/>
      <c r="C60" s="985"/>
      <c r="D60" s="981"/>
      <c r="E60" s="984" t="s">
        <v>2212</v>
      </c>
      <c r="F60" s="983"/>
    </row>
    <row r="61" spans="1:6" ht="15" hidden="1" thickBot="1">
      <c r="A61" s="1064" t="s">
        <v>2374</v>
      </c>
      <c r="B61" s="1066"/>
      <c r="C61" s="1066"/>
      <c r="D61" s="1066"/>
      <c r="E61" s="1065"/>
      <c r="F61" s="976"/>
    </row>
    <row r="62" spans="1:6" ht="43.5" hidden="1">
      <c r="A62" s="1074" t="s">
        <v>2375</v>
      </c>
      <c r="B62" s="1075">
        <v>49.003076923076918</v>
      </c>
      <c r="C62" s="1076"/>
      <c r="D62" s="1074" t="s">
        <v>2360</v>
      </c>
      <c r="E62" s="978" t="s">
        <v>2376</v>
      </c>
      <c r="F62" s="979"/>
    </row>
    <row r="63" spans="1:6" ht="14.5" hidden="1">
      <c r="A63" s="977"/>
      <c r="B63" s="1077"/>
      <c r="C63" s="1078"/>
      <c r="D63" s="977"/>
      <c r="E63" s="978" t="s">
        <v>2377</v>
      </c>
      <c r="F63" s="980"/>
    </row>
    <row r="64" spans="1:6" ht="15" hidden="1" thickBot="1">
      <c r="A64" s="981"/>
      <c r="B64" s="1079"/>
      <c r="C64" s="985"/>
      <c r="D64" s="981"/>
      <c r="E64" s="984"/>
      <c r="F64" s="983"/>
    </row>
    <row r="65" spans="1:6" ht="43.5" hidden="1">
      <c r="A65" s="1074" t="s">
        <v>2378</v>
      </c>
      <c r="B65" s="1075">
        <v>24.501538461538459</v>
      </c>
      <c r="C65" s="1076"/>
      <c r="D65" s="1074" t="s">
        <v>2360</v>
      </c>
      <c r="E65" s="978" t="s">
        <v>2376</v>
      </c>
      <c r="F65" s="979"/>
    </row>
    <row r="66" spans="1:6" ht="14.5" hidden="1">
      <c r="A66" s="977"/>
      <c r="B66" s="1077"/>
      <c r="C66" s="1078"/>
      <c r="D66" s="977"/>
      <c r="E66" s="978" t="s">
        <v>2379</v>
      </c>
      <c r="F66" s="980"/>
    </row>
    <row r="67" spans="1:6" ht="15" hidden="1" thickBot="1">
      <c r="A67" s="981"/>
      <c r="B67" s="1079"/>
      <c r="C67" s="985"/>
      <c r="D67" s="981"/>
      <c r="E67" s="984"/>
      <c r="F67" s="983"/>
    </row>
    <row r="68" spans="1:6" ht="43.5" hidden="1">
      <c r="A68" s="1074" t="s">
        <v>2380</v>
      </c>
      <c r="B68" s="1075">
        <v>183.76153846153844</v>
      </c>
      <c r="C68" s="1076"/>
      <c r="D68" s="1074" t="s">
        <v>2360</v>
      </c>
      <c r="E68" s="978" t="s">
        <v>2376</v>
      </c>
      <c r="F68" s="979"/>
    </row>
    <row r="69" spans="1:6" ht="29" hidden="1">
      <c r="A69" s="977"/>
      <c r="B69" s="1077"/>
      <c r="C69" s="1078"/>
      <c r="D69" s="977"/>
      <c r="E69" s="978" t="s">
        <v>2381</v>
      </c>
      <c r="F69" s="980"/>
    </row>
    <row r="70" spans="1:6" ht="15" hidden="1" thickBot="1">
      <c r="A70" s="981"/>
      <c r="B70" s="1079"/>
      <c r="C70" s="985"/>
      <c r="D70" s="981"/>
      <c r="E70" s="984"/>
      <c r="F70" s="983"/>
    </row>
    <row r="71" spans="1:6" ht="43.5" hidden="1">
      <c r="A71" s="1074" t="s">
        <v>2382</v>
      </c>
      <c r="B71" s="1075">
        <v>91.880769230769218</v>
      </c>
      <c r="C71" s="1076"/>
      <c r="D71" s="1074" t="s">
        <v>2360</v>
      </c>
      <c r="E71" s="978" t="s">
        <v>2376</v>
      </c>
      <c r="F71" s="979"/>
    </row>
    <row r="72" spans="1:6" ht="29" hidden="1">
      <c r="A72" s="977"/>
      <c r="B72" s="1077"/>
      <c r="C72" s="1078"/>
      <c r="D72" s="977"/>
      <c r="E72" s="978" t="s">
        <v>2383</v>
      </c>
      <c r="F72" s="980"/>
    </row>
    <row r="73" spans="1:6" ht="15" hidden="1" thickBot="1">
      <c r="A73" s="981"/>
      <c r="B73" s="1079"/>
      <c r="C73" s="985"/>
      <c r="D73" s="981"/>
      <c r="E73" s="984"/>
      <c r="F73" s="983"/>
    </row>
    <row r="74" spans="1:6" ht="43.5" hidden="1">
      <c r="A74" s="1074" t="s">
        <v>2384</v>
      </c>
      <c r="B74" s="1075">
        <v>91.880769230769218</v>
      </c>
      <c r="C74" s="1076"/>
      <c r="D74" s="1074" t="s">
        <v>2385</v>
      </c>
      <c r="E74" s="978" t="s">
        <v>2376</v>
      </c>
      <c r="F74" s="979"/>
    </row>
    <row r="75" spans="1:6" ht="29" hidden="1">
      <c r="A75" s="977"/>
      <c r="B75" s="1077"/>
      <c r="C75" s="1078"/>
      <c r="D75" s="977"/>
      <c r="E75" s="978" t="s">
        <v>2383</v>
      </c>
      <c r="F75" s="980"/>
    </row>
    <row r="76" spans="1:6" ht="15" hidden="1" thickBot="1">
      <c r="A76" s="981"/>
      <c r="B76" s="1079"/>
      <c r="C76" s="985"/>
      <c r="D76" s="981"/>
      <c r="E76" s="984"/>
      <c r="F76" s="983"/>
    </row>
    <row r="77" spans="1:6" ht="15" hidden="1" thickBot="1">
      <c r="A77" s="1064" t="s">
        <v>2386</v>
      </c>
      <c r="B77" s="1066"/>
      <c r="C77" s="1066"/>
      <c r="D77" s="1066"/>
      <c r="E77" s="1065"/>
      <c r="F77" s="976"/>
    </row>
    <row r="78" spans="1:6" ht="43.5" hidden="1">
      <c r="A78" s="1067" t="s">
        <v>2387</v>
      </c>
      <c r="B78" s="1068"/>
      <c r="C78" s="1071">
        <v>918.80769230769215</v>
      </c>
      <c r="D78" s="1074" t="s">
        <v>2371</v>
      </c>
      <c r="E78" s="978" t="s">
        <v>2376</v>
      </c>
      <c r="F78" s="979"/>
    </row>
    <row r="79" spans="1:6" ht="15" hidden="1" thickBot="1">
      <c r="A79" s="1070"/>
      <c r="B79" s="984"/>
      <c r="C79" s="1073"/>
      <c r="D79" s="981"/>
      <c r="E79" s="984" t="s">
        <v>2358</v>
      </c>
      <c r="F79" s="983"/>
    </row>
    <row r="80" spans="1:6" ht="43.5" hidden="1">
      <c r="A80" s="1067" t="s">
        <v>2388</v>
      </c>
      <c r="B80" s="1068"/>
      <c r="C80" s="1071">
        <v>367.52307692307687</v>
      </c>
      <c r="D80" s="1074" t="s">
        <v>2371</v>
      </c>
      <c r="E80" s="978" t="s">
        <v>2376</v>
      </c>
      <c r="F80" s="979"/>
    </row>
    <row r="81" spans="1:6" ht="15" hidden="1" thickBot="1">
      <c r="A81" s="1070"/>
      <c r="B81" s="984"/>
      <c r="C81" s="1073"/>
      <c r="D81" s="981"/>
      <c r="E81" s="984" t="s">
        <v>2373</v>
      </c>
      <c r="F81" s="983"/>
    </row>
    <row r="82" spans="1:6" hidden="1">
      <c r="A82" s="1067" t="s">
        <v>2389</v>
      </c>
      <c r="B82" s="1068"/>
      <c r="C82" s="1071">
        <v>500</v>
      </c>
      <c r="D82" s="1074" t="s">
        <v>2390</v>
      </c>
      <c r="E82" s="1074" t="s">
        <v>2391</v>
      </c>
      <c r="F82" s="979"/>
    </row>
    <row r="83" spans="1:6" ht="13.5" hidden="1" thickBot="1">
      <c r="A83" s="1070"/>
      <c r="B83" s="984"/>
      <c r="C83" s="1073"/>
      <c r="D83" s="981"/>
      <c r="E83" s="981"/>
      <c r="F83" s="983"/>
    </row>
    <row r="84" spans="1:6" hidden="1">
      <c r="A84" s="1067" t="s">
        <v>2392</v>
      </c>
      <c r="B84" s="1068"/>
      <c r="C84" s="1071">
        <v>250</v>
      </c>
      <c r="D84" s="1074" t="s">
        <v>2390</v>
      </c>
      <c r="E84" s="1074" t="s">
        <v>2391</v>
      </c>
      <c r="F84" s="979"/>
    </row>
    <row r="85" spans="1:6" ht="13.5" hidden="1" thickBot="1">
      <c r="A85" s="1070"/>
      <c r="B85" s="984"/>
      <c r="C85" s="1073"/>
      <c r="D85" s="981"/>
      <c r="E85" s="981"/>
      <c r="F85" s="983"/>
    </row>
    <row r="86" spans="1:6" hidden="1">
      <c r="A86" s="1067" t="s">
        <v>2393</v>
      </c>
      <c r="B86" s="1068"/>
      <c r="C86" s="1071">
        <v>500</v>
      </c>
      <c r="D86" s="1074" t="s">
        <v>2390</v>
      </c>
      <c r="E86" s="1074" t="s">
        <v>2394</v>
      </c>
      <c r="F86" s="979"/>
    </row>
    <row r="87" spans="1:6" ht="13.5" hidden="1" thickBot="1">
      <c r="A87" s="1070"/>
      <c r="B87" s="984"/>
      <c r="C87" s="1073"/>
      <c r="D87" s="981"/>
      <c r="E87" s="981"/>
      <c r="F87" s="983"/>
    </row>
    <row r="88" spans="1:6" ht="43.5" hidden="1">
      <c r="A88" s="1067" t="s">
        <v>2395</v>
      </c>
      <c r="B88" s="1068"/>
      <c r="C88" s="1071">
        <v>73.504615384615349</v>
      </c>
      <c r="D88" s="1074" t="s">
        <v>2396</v>
      </c>
      <c r="E88" s="978" t="s">
        <v>2397</v>
      </c>
      <c r="F88" s="979"/>
    </row>
    <row r="89" spans="1:6" ht="15" hidden="1" thickBot="1">
      <c r="A89" s="1070"/>
      <c r="B89" s="984"/>
      <c r="C89" s="1073"/>
      <c r="D89" s="981"/>
      <c r="E89" s="984" t="s">
        <v>2398</v>
      </c>
      <c r="F89" s="983"/>
    </row>
    <row r="90" spans="1:6" ht="43.5" hidden="1">
      <c r="A90" s="1067" t="s">
        <v>2399</v>
      </c>
      <c r="B90" s="1068"/>
      <c r="C90" s="1071">
        <v>49.003076923076918</v>
      </c>
      <c r="D90" s="1074" t="s">
        <v>2396</v>
      </c>
      <c r="E90" s="978" t="s">
        <v>2397</v>
      </c>
      <c r="F90" s="979"/>
    </row>
    <row r="91" spans="1:6" ht="15" hidden="1" thickBot="1">
      <c r="A91" s="1070"/>
      <c r="B91" s="984"/>
      <c r="C91" s="1073"/>
      <c r="D91" s="981"/>
      <c r="E91" s="984" t="s">
        <v>2377</v>
      </c>
      <c r="F91" s="983"/>
    </row>
    <row r="92" spans="1:6" ht="15" hidden="1" thickBot="1">
      <c r="A92" s="1064" t="s">
        <v>2400</v>
      </c>
      <c r="B92" s="1066"/>
      <c r="C92" s="1066"/>
      <c r="D92" s="1066"/>
      <c r="E92" s="1065"/>
      <c r="F92" s="976"/>
    </row>
    <row r="93" spans="1:6" ht="72.5" hidden="1">
      <c r="A93" s="1067" t="s">
        <v>2401</v>
      </c>
      <c r="B93" s="1068"/>
      <c r="C93" s="1071">
        <v>551.28461538461534</v>
      </c>
      <c r="D93" s="1074" t="s">
        <v>2402</v>
      </c>
      <c r="E93" s="978" t="s">
        <v>2403</v>
      </c>
      <c r="F93" s="979"/>
    </row>
    <row r="94" spans="1:6" ht="14.5" hidden="1">
      <c r="A94" s="1069"/>
      <c r="B94" s="978"/>
      <c r="C94" s="1072"/>
      <c r="D94" s="977"/>
      <c r="E94" s="978" t="s">
        <v>2404</v>
      </c>
      <c r="F94" s="980"/>
    </row>
    <row r="95" spans="1:6" ht="15" hidden="1" thickBot="1">
      <c r="A95" s="1070"/>
      <c r="B95" s="984"/>
      <c r="C95" s="1073"/>
      <c r="D95" s="981"/>
      <c r="E95" s="984"/>
      <c r="F95" s="983"/>
    </row>
    <row r="96" spans="1:6" ht="43.5" hidden="1">
      <c r="A96" s="1067" t="s">
        <v>2405</v>
      </c>
      <c r="B96" s="1068"/>
      <c r="C96" s="1071">
        <v>49.003076923076918</v>
      </c>
      <c r="D96" s="1074" t="s">
        <v>2402</v>
      </c>
      <c r="E96" s="978" t="s">
        <v>2397</v>
      </c>
      <c r="F96" s="979"/>
    </row>
    <row r="97" spans="1:6" ht="14.5" hidden="1">
      <c r="A97" s="1069"/>
      <c r="B97" s="978"/>
      <c r="C97" s="1072"/>
      <c r="D97" s="977"/>
      <c r="E97" s="978" t="s">
        <v>2377</v>
      </c>
      <c r="F97" s="980"/>
    </row>
    <row r="98" spans="1:6" ht="15" hidden="1" thickBot="1">
      <c r="A98" s="1070"/>
      <c r="B98" s="984"/>
      <c r="C98" s="1073"/>
      <c r="D98" s="981"/>
      <c r="E98" s="984"/>
      <c r="F98" s="983"/>
    </row>
    <row r="99" spans="1:6" ht="43.5" hidden="1">
      <c r="A99" s="1067" t="s">
        <v>2406</v>
      </c>
      <c r="B99" s="1068"/>
      <c r="C99" s="1071">
        <v>49.003076923076918</v>
      </c>
      <c r="D99" s="1074" t="s">
        <v>2402</v>
      </c>
      <c r="E99" s="978" t="s">
        <v>2397</v>
      </c>
      <c r="F99" s="979"/>
    </row>
    <row r="100" spans="1:6" ht="14.5" hidden="1">
      <c r="A100" s="1069"/>
      <c r="B100" s="978"/>
      <c r="C100" s="1072"/>
      <c r="D100" s="977"/>
      <c r="E100" s="978" t="s">
        <v>2377</v>
      </c>
      <c r="F100" s="980"/>
    </row>
    <row r="101" spans="1:6" ht="15" hidden="1" thickBot="1">
      <c r="A101" s="1070"/>
      <c r="B101" s="984"/>
      <c r="C101" s="1073"/>
      <c r="D101" s="981"/>
      <c r="E101" s="984"/>
      <c r="F101" s="983"/>
    </row>
    <row r="102" spans="1:6" ht="15" hidden="1" thickBot="1">
      <c r="A102" s="1064" t="s">
        <v>2407</v>
      </c>
      <c r="B102" s="1066"/>
      <c r="C102" s="1066"/>
      <c r="D102" s="1066"/>
      <c r="E102" s="1065"/>
      <c r="F102" s="976"/>
    </row>
    <row r="103" spans="1:6" ht="72.5" hidden="1">
      <c r="A103" s="1067" t="s">
        <v>2401</v>
      </c>
      <c r="B103" s="1068"/>
      <c r="C103" s="1071">
        <v>49.003076923076918</v>
      </c>
      <c r="D103" s="1074" t="s">
        <v>2402</v>
      </c>
      <c r="E103" s="978" t="s">
        <v>2403</v>
      </c>
      <c r="F103" s="979"/>
    </row>
    <row r="104" spans="1:6" ht="14.5" hidden="1">
      <c r="A104" s="1069"/>
      <c r="B104" s="978"/>
      <c r="C104" s="1072"/>
      <c r="D104" s="977"/>
      <c r="E104" s="978" t="s">
        <v>2408</v>
      </c>
      <c r="F104" s="980"/>
    </row>
    <row r="105" spans="1:6" ht="15" hidden="1" thickBot="1">
      <c r="A105" s="1070"/>
      <c r="B105" s="984"/>
      <c r="C105" s="1073"/>
      <c r="D105" s="981"/>
      <c r="E105" s="984"/>
      <c r="F105" s="983"/>
    </row>
    <row r="106" spans="1:6" ht="43.5" hidden="1">
      <c r="A106" s="1067" t="s">
        <v>2405</v>
      </c>
      <c r="B106" s="1068"/>
      <c r="C106" s="1071">
        <v>49.003076923076918</v>
      </c>
      <c r="D106" s="1074" t="s">
        <v>2402</v>
      </c>
      <c r="E106" s="978" t="s">
        <v>2397</v>
      </c>
      <c r="F106" s="979"/>
    </row>
    <row r="107" spans="1:6" ht="14.5" hidden="1">
      <c r="A107" s="1069"/>
      <c r="B107" s="978"/>
      <c r="C107" s="1072"/>
      <c r="D107" s="977"/>
      <c r="E107" s="978" t="s">
        <v>2377</v>
      </c>
      <c r="F107" s="980"/>
    </row>
    <row r="108" spans="1:6" ht="15" hidden="1" thickBot="1">
      <c r="A108" s="1070"/>
      <c r="B108" s="984"/>
      <c r="C108" s="1073"/>
      <c r="D108" s="981"/>
      <c r="E108" s="984"/>
      <c r="F108" s="983"/>
    </row>
    <row r="109" spans="1:6" ht="43.5" hidden="1">
      <c r="A109" s="1067" t="s">
        <v>2406</v>
      </c>
      <c r="B109" s="1068"/>
      <c r="C109" s="1071">
        <v>49.003076923076918</v>
      </c>
      <c r="D109" s="1074" t="s">
        <v>2402</v>
      </c>
      <c r="E109" s="978" t="s">
        <v>2397</v>
      </c>
      <c r="F109" s="979"/>
    </row>
    <row r="110" spans="1:6" ht="14.5" hidden="1">
      <c r="A110" s="1069"/>
      <c r="B110" s="978"/>
      <c r="C110" s="1072"/>
      <c r="D110" s="977"/>
      <c r="E110" s="978" t="s">
        <v>2377</v>
      </c>
      <c r="F110" s="980"/>
    </row>
    <row r="111" spans="1:6" ht="15" hidden="1" thickBot="1">
      <c r="A111" s="1070"/>
      <c r="B111" s="984"/>
      <c r="C111" s="1073"/>
      <c r="D111" s="981"/>
      <c r="E111" s="984"/>
      <c r="F111" s="983"/>
    </row>
    <row r="112" spans="1:6" ht="15" hidden="1" thickBot="1">
      <c r="A112" s="1064" t="s">
        <v>2409</v>
      </c>
      <c r="B112" s="1066"/>
      <c r="C112" s="1066"/>
      <c r="D112" s="1066"/>
      <c r="E112" s="1065"/>
      <c r="F112" s="976"/>
    </row>
    <row r="113" spans="1:6" ht="15" hidden="1" thickBot="1">
      <c r="A113" s="1064" t="s">
        <v>2410</v>
      </c>
      <c r="B113" s="1065"/>
      <c r="C113" s="985">
        <v>152</v>
      </c>
      <c r="D113" s="984" t="s">
        <v>2411</v>
      </c>
      <c r="E113" s="984"/>
      <c r="F113" s="976"/>
    </row>
    <row r="114" spans="1:6" ht="29.5" hidden="1" thickBot="1">
      <c r="A114" s="1064" t="s">
        <v>2412</v>
      </c>
      <c r="B114" s="1065"/>
      <c r="C114" s="985">
        <v>3060</v>
      </c>
      <c r="D114" s="984" t="s">
        <v>2413</v>
      </c>
      <c r="E114" s="984" t="s">
        <v>2414</v>
      </c>
      <c r="F114" s="976"/>
    </row>
    <row r="115" spans="1:6" ht="29.5" hidden="1" thickBot="1">
      <c r="A115" s="1064" t="s">
        <v>2415</v>
      </c>
      <c r="B115" s="1065"/>
      <c r="C115" s="985">
        <v>225</v>
      </c>
      <c r="D115" s="984" t="s">
        <v>2413</v>
      </c>
      <c r="E115" s="984" t="s">
        <v>2414</v>
      </c>
      <c r="F115" s="976"/>
    </row>
    <row r="116" spans="1:6" ht="29.5" hidden="1" thickBot="1">
      <c r="A116" s="1064" t="s">
        <v>2416</v>
      </c>
      <c r="B116" s="1065"/>
      <c r="C116" s="985">
        <v>225</v>
      </c>
      <c r="D116" s="984" t="s">
        <v>2396</v>
      </c>
      <c r="E116" s="984" t="s">
        <v>2414</v>
      </c>
      <c r="F116" s="976"/>
    </row>
    <row r="117" spans="1:6" ht="29.5" hidden="1" thickBot="1">
      <c r="A117" s="1064" t="s">
        <v>2417</v>
      </c>
      <c r="B117" s="1065"/>
      <c r="C117" s="985">
        <v>3820</v>
      </c>
      <c r="D117" s="984" t="s">
        <v>2418</v>
      </c>
      <c r="E117" s="984" t="s">
        <v>2414</v>
      </c>
      <c r="F117" s="976"/>
    </row>
    <row r="118" spans="1:6" ht="29.5" hidden="1" thickBot="1">
      <c r="A118" s="1064" t="s">
        <v>2419</v>
      </c>
      <c r="B118" s="1065"/>
      <c r="C118" s="985">
        <v>207</v>
      </c>
      <c r="D118" s="984" t="s">
        <v>2396</v>
      </c>
      <c r="E118" s="984" t="s">
        <v>2414</v>
      </c>
      <c r="F118" s="976"/>
    </row>
    <row r="119" spans="1:6" ht="29.5" hidden="1" thickBot="1">
      <c r="A119" s="1064" t="s">
        <v>2420</v>
      </c>
      <c r="B119" s="1065"/>
      <c r="C119" s="985">
        <v>5040</v>
      </c>
      <c r="D119" s="984" t="s">
        <v>2418</v>
      </c>
      <c r="E119" s="984" t="s">
        <v>2414</v>
      </c>
      <c r="F119" s="976"/>
    </row>
    <row r="120" spans="1:6" ht="29.5" hidden="1" thickBot="1">
      <c r="A120" s="1064" t="s">
        <v>2421</v>
      </c>
      <c r="B120" s="1065"/>
      <c r="C120" s="985">
        <v>331</v>
      </c>
      <c r="D120" s="984" t="s">
        <v>2396</v>
      </c>
      <c r="E120" s="984" t="s">
        <v>2414</v>
      </c>
      <c r="F120" s="976"/>
    </row>
    <row r="121" spans="1:6" ht="29.5" hidden="1" thickBot="1">
      <c r="A121" s="1064" t="s">
        <v>2422</v>
      </c>
      <c r="B121" s="1065"/>
      <c r="C121" s="985">
        <v>350</v>
      </c>
      <c r="D121" s="984" t="s">
        <v>2413</v>
      </c>
      <c r="E121" s="984" t="s">
        <v>2414</v>
      </c>
      <c r="F121" s="976"/>
    </row>
    <row r="122" spans="1:6" ht="29.5" hidden="1" thickBot="1">
      <c r="A122" s="1064" t="s">
        <v>2423</v>
      </c>
      <c r="B122" s="1065"/>
      <c r="C122" s="985">
        <v>300</v>
      </c>
      <c r="D122" s="984" t="s">
        <v>2413</v>
      </c>
      <c r="E122" s="984" t="s">
        <v>2414</v>
      </c>
      <c r="F122" s="976"/>
    </row>
    <row r="123" spans="1:6" ht="29.5" hidden="1" thickBot="1">
      <c r="A123" s="1064" t="s">
        <v>2424</v>
      </c>
      <c r="B123" s="1065"/>
      <c r="C123" s="985">
        <v>200</v>
      </c>
      <c r="D123" s="984" t="s">
        <v>2413</v>
      </c>
      <c r="E123" s="984" t="s">
        <v>2414</v>
      </c>
      <c r="F123" s="976"/>
    </row>
    <row r="124" spans="1:6" ht="29.5" hidden="1" thickBot="1">
      <c r="A124" s="1064" t="s">
        <v>2425</v>
      </c>
      <c r="B124" s="1065"/>
      <c r="C124" s="985">
        <v>250</v>
      </c>
      <c r="D124" s="984" t="s">
        <v>2396</v>
      </c>
      <c r="E124" s="984" t="s">
        <v>2414</v>
      </c>
      <c r="F124" s="976"/>
    </row>
    <row r="125" spans="1:6" ht="29.5" hidden="1" thickBot="1">
      <c r="A125" s="1064" t="s">
        <v>2426</v>
      </c>
      <c r="B125" s="1065"/>
      <c r="C125" s="985">
        <v>271.2</v>
      </c>
      <c r="D125" s="984" t="s">
        <v>2418</v>
      </c>
      <c r="E125" s="984" t="s">
        <v>2414</v>
      </c>
      <c r="F125" s="976"/>
    </row>
    <row r="126" spans="1:5">
      <c r="A126" s="1014" t="s">
        <v>2476</v>
      </c>
      <c r="B126" s="987"/>
      <c r="C126" s="987"/>
      <c r="D126" s="987"/>
      <c r="E126" s="987"/>
    </row>
    <row r="127" spans="1:5">
      <c r="A127" s="988"/>
      <c r="B127" s="989"/>
      <c r="C127" s="989"/>
      <c r="D127" s="989"/>
      <c r="E127" s="989"/>
    </row>
    <row r="128" spans="1:5">
      <c r="A128" s="988"/>
      <c r="B128" s="989"/>
      <c r="C128" s="989"/>
      <c r="D128" s="989"/>
      <c r="E128" s="989"/>
    </row>
    <row r="129" spans="1:5">
      <c r="A129" s="988"/>
      <c r="B129" s="989"/>
      <c r="C129" s="989"/>
      <c r="D129" s="989"/>
      <c r="E129" s="989"/>
    </row>
  </sheetData>
  <sheetProtection algorithmName="SHA-512" hashValue="nDbOhkRB5/nG28xfcLzku5xedOJRQZ7SIs92cXgL7C1H4JJdX2Wmasta0TK+EKbBgeAR75D/3j8iA6JODoUhGw==" saltValue="eUbxt1rWh0HUjZZ9v8B5Xw==" spinCount="100000" sheet="1" objects="1" scenarios="1"/>
  <mergeCells count="97">
    <mergeCell ref="A20:B20"/>
    <mergeCell ref="A24:B24"/>
    <mergeCell ref="B42:C42"/>
    <mergeCell ref="A43:E43"/>
    <mergeCell ref="B44:C46"/>
    <mergeCell ref="D44:D46"/>
    <mergeCell ref="A34:B34"/>
    <mergeCell ref="A33:B33"/>
    <mergeCell ref="B47:C49"/>
    <mergeCell ref="D47:D49"/>
    <mergeCell ref="A50:A51"/>
    <mergeCell ref="B50:C51"/>
    <mergeCell ref="D50:D51"/>
    <mergeCell ref="A52:A54"/>
    <mergeCell ref="B52:C54"/>
    <mergeCell ref="D52:D54"/>
    <mergeCell ref="A55:A57"/>
    <mergeCell ref="B55:C57"/>
    <mergeCell ref="D55:D57"/>
    <mergeCell ref="A58:A60"/>
    <mergeCell ref="B58:C60"/>
    <mergeCell ref="D58:D60"/>
    <mergeCell ref="A61:E61"/>
    <mergeCell ref="A62:A64"/>
    <mergeCell ref="B62:C64"/>
    <mergeCell ref="D62:D64"/>
    <mergeCell ref="A65:A67"/>
    <mergeCell ref="B65:C67"/>
    <mergeCell ref="D65:D67"/>
    <mergeCell ref="A68:A70"/>
    <mergeCell ref="B68:C70"/>
    <mergeCell ref="D68:D70"/>
    <mergeCell ref="A71:A73"/>
    <mergeCell ref="B71:C73"/>
    <mergeCell ref="D71:D73"/>
    <mergeCell ref="A74:A76"/>
    <mergeCell ref="B74:C76"/>
    <mergeCell ref="D74:D76"/>
    <mergeCell ref="A77:E77"/>
    <mergeCell ref="A78:B79"/>
    <mergeCell ref="C78:C79"/>
    <mergeCell ref="D78:D79"/>
    <mergeCell ref="A86:B87"/>
    <mergeCell ref="C86:C87"/>
    <mergeCell ref="D86:D87"/>
    <mergeCell ref="E86:E87"/>
    <mergeCell ref="A80:B81"/>
    <mergeCell ref="C80:C81"/>
    <mergeCell ref="D80:D81"/>
    <mergeCell ref="A82:B83"/>
    <mergeCell ref="C82:C83"/>
    <mergeCell ref="D82:D83"/>
    <mergeCell ref="E82:E83"/>
    <mergeCell ref="A84:B85"/>
    <mergeCell ref="C84:C85"/>
    <mergeCell ref="D84:D85"/>
    <mergeCell ref="E84:E85"/>
    <mergeCell ref="A88:B89"/>
    <mergeCell ref="C88:C89"/>
    <mergeCell ref="D88:D89"/>
    <mergeCell ref="A90:B91"/>
    <mergeCell ref="C90:C91"/>
    <mergeCell ref="D90:D91"/>
    <mergeCell ref="A92:E92"/>
    <mergeCell ref="A93:B95"/>
    <mergeCell ref="C93:C95"/>
    <mergeCell ref="D93:D95"/>
    <mergeCell ref="A96:B98"/>
    <mergeCell ref="C96:C98"/>
    <mergeCell ref="D96:D98"/>
    <mergeCell ref="A99:B101"/>
    <mergeCell ref="C99:C101"/>
    <mergeCell ref="D99:D101"/>
    <mergeCell ref="A102:E102"/>
    <mergeCell ref="A103:B105"/>
    <mergeCell ref="C103:C105"/>
    <mergeCell ref="D103:D105"/>
    <mergeCell ref="A117:B117"/>
    <mergeCell ref="A106:B108"/>
    <mergeCell ref="C106:C108"/>
    <mergeCell ref="D106:D108"/>
    <mergeCell ref="A109:B111"/>
    <mergeCell ref="C109:C111"/>
    <mergeCell ref="D109:D111"/>
    <mergeCell ref="A112:E112"/>
    <mergeCell ref="A113:B113"/>
    <mergeCell ref="A114:B114"/>
    <mergeCell ref="A115:B115"/>
    <mergeCell ref="A116:B116"/>
    <mergeCell ref="A124:B124"/>
    <mergeCell ref="A125:B125"/>
    <mergeCell ref="A118:B118"/>
    <mergeCell ref="A119:B119"/>
    <mergeCell ref="A120:B120"/>
    <mergeCell ref="A121:B121"/>
    <mergeCell ref="A122:B122"/>
    <mergeCell ref="A123:B123"/>
  </mergeCells>
  <dataValidations count="1">
    <dataValidation type="list" allowBlank="1" showInputMessage="1" showErrorMessage="1" sqref="B4:B9">
      <formula1>'Look Up'!A5:A9</formula1>
    </dataValidation>
  </dataValidations>
  <pageMargins left="0.7" right="0.7" top="0.75" bottom="0.75" header="0.3" footer="0.3"/>
  <pageSetup paperSize="9" orientation="portrait"/>
  <headerFooter scaleWithDoc="1" alignWithMargins="0" differentFirst="0" differentOddEven="0"/>
  <legacyDrawing r:id="rId2"/>
  <extLst/>
</worksheet>
</file>

<file path=xl/worksheets/sheet2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3">
    <tabColor rgb="FF7030A0"/>
  </sheetPr>
  <dimension ref="A1:G53"/>
  <sheetViews>
    <sheetView topLeftCell="A4" view="pageBreakPreview" workbookViewId="0">
      <selection pane="topLeft" activeCell="D42" sqref="D42:D43"/>
    </sheetView>
  </sheetViews>
  <sheetFormatPr defaultRowHeight="12.5"/>
  <cols>
    <col min="1" max="1" width="14.5703125" customWidth="1"/>
    <col min="2" max="3" width="14.27734375" customWidth="1"/>
    <col min="4" max="4" width="10.5703125" customWidth="1"/>
    <col min="5" max="5" width="10.27734375" customWidth="1"/>
  </cols>
  <sheetData>
    <row r="1" spans="1:7">
      <c r="A1" s="239">
        <f>'Per patient Arm 1'!AR91</f>
        <v>0</v>
      </c>
      <c r="B1">
        <f>'Study Information &amp; rates'!B27</f>
        <v>0</v>
      </c>
      <c r="C1" s="239">
        <f>A1*B1</f>
        <v>0</v>
      </c>
      <c r="E1" s="239"/>
      <c r="F1" s="239"/>
      <c r="G1" s="239"/>
    </row>
    <row r="2" spans="1:6">
      <c r="A2" s="239">
        <f>'Per patient Arm 2'!AR92</f>
        <v>0</v>
      </c>
      <c r="B2">
        <f>'Study Information &amp; rates'!B28</f>
        <v>0</v>
      </c>
      <c r="C2" s="239">
        <f>A2*B2</f>
        <v>0</v>
      </c>
      <c r="E2" s="239"/>
      <c r="F2" s="239"/>
    </row>
    <row r="3" spans="1:6">
      <c r="A3" s="239">
        <f>'Per patient Arm 3'!AR92</f>
        <v>0</v>
      </c>
      <c r="B3">
        <f>'Study Information &amp; rates'!B29</f>
        <v>0</v>
      </c>
      <c r="C3" s="239">
        <f>A3*B3</f>
        <v>0</v>
      </c>
      <c r="E3" s="239"/>
      <c r="F3" s="239"/>
    </row>
    <row r="4" spans="1:6">
      <c r="A4" s="239">
        <f>'Per patient Arm 4'!AR92</f>
        <v>0</v>
      </c>
      <c r="B4">
        <f>'Study Information &amp; rates'!B30</f>
        <v>0</v>
      </c>
      <c r="C4" s="239">
        <f>A4*B4</f>
        <v>0</v>
      </c>
      <c r="E4" s="239"/>
      <c r="F4" s="239"/>
    </row>
    <row r="5" spans="1:6">
      <c r="A5" s="239">
        <f>'Per patient Arm 5'!AR92</f>
        <v>0</v>
      </c>
      <c r="B5">
        <f>'Study Information &amp; rates'!B31</f>
        <v>0</v>
      </c>
      <c r="C5" s="239">
        <f>A5*B5</f>
        <v>0</v>
      </c>
      <c r="D5"/>
      <c r="E5" s="239"/>
      <c r="F5" s="239"/>
    </row>
    <row r="7" spans="3:3">
      <c r="C7" s="239">
        <f>SUM(C1:C6)</f>
        <v>0</v>
      </c>
    </row>
    <row r="8" spans="1:1">
      <c r="A8" t="s">
        <v>1964</v>
      </c>
    </row>
    <row r="9" spans="1:3">
      <c r="A9" s="239">
        <f>'Per patient Arm 1'!AV51</f>
        <v>0</v>
      </c>
      <c r="C9" s="239">
        <f>A9*B1</f>
        <v>0</v>
      </c>
    </row>
    <row r="10" spans="1:3">
      <c r="A10" s="239">
        <f>'Per patient Arm 2'!AV52</f>
        <v>0</v>
      </c>
      <c r="C10" s="239">
        <f>A10*B2</f>
        <v>0</v>
      </c>
    </row>
    <row r="11" spans="1:3">
      <c r="A11" s="239">
        <f>'Per patient Arm 3'!AV52</f>
        <v>0</v>
      </c>
      <c r="C11" s="239">
        <f>A11*B3</f>
        <v>0</v>
      </c>
    </row>
    <row r="12" spans="1:3">
      <c r="A12" s="239">
        <f>'Per patient Arm 4'!AV52</f>
        <v>0</v>
      </c>
      <c r="C12" s="239">
        <f>A12*B4</f>
        <v>0</v>
      </c>
    </row>
    <row r="13" spans="1:3">
      <c r="A13" s="239">
        <f>'Per patient Arm 5'!AV52</f>
        <v>0</v>
      </c>
      <c r="C13" s="239">
        <f>A13*B5</f>
        <v>0</v>
      </c>
    </row>
    <row r="15" spans="3:3">
      <c r="C15" s="262">
        <f>SUM(C9:C14)</f>
        <v>0</v>
      </c>
    </row>
    <row r="17" spans="1:3">
      <c r="A17" s="239">
        <f>'Per patient Arm 1'!$AV$51</f>
        <v>0</v>
      </c>
      <c r="B17">
        <f>'Study Information &amp; rates'!B27</f>
        <v>0</v>
      </c>
      <c r="C17" s="239">
        <f>A17*B17</f>
        <v>0</v>
      </c>
    </row>
    <row r="18" spans="1:3">
      <c r="A18" s="239">
        <f>'Per patient Arm 2'!$AR$52</f>
        <v>0</v>
      </c>
      <c r="B18">
        <f>'Study Information &amp; rates'!B28</f>
        <v>0</v>
      </c>
      <c r="C18" s="239">
        <f>A18*B18</f>
        <v>0</v>
      </c>
    </row>
    <row r="19" spans="1:3">
      <c r="A19" s="239">
        <f>'Per patient Arm 3'!$AR$52</f>
        <v>0</v>
      </c>
      <c r="B19">
        <f>'Study Information &amp; rates'!B29</f>
        <v>0</v>
      </c>
      <c r="C19" s="239">
        <f>A19*B19</f>
        <v>0</v>
      </c>
    </row>
    <row r="20" spans="1:3">
      <c r="A20" s="239">
        <f>'Per patient Arm 4'!$AR$52</f>
        <v>0</v>
      </c>
      <c r="B20">
        <f>'Study Information &amp; rates'!B30</f>
        <v>0</v>
      </c>
      <c r="C20" s="239">
        <f>A20*B20</f>
        <v>0</v>
      </c>
    </row>
    <row r="21" spans="1:3">
      <c r="A21" s="239">
        <f>'Per patient Arm 5'!$AR$52</f>
        <v>0</v>
      </c>
      <c r="B21">
        <f>'Study Information &amp; rates'!B31</f>
        <v>0</v>
      </c>
      <c r="C21" s="239">
        <f>A21*B21</f>
        <v>0</v>
      </c>
    </row>
    <row r="23" spans="3:3">
      <c r="C23" s="297">
        <f>SUM(C17:C22)</f>
        <v>0</v>
      </c>
    </row>
    <row r="27" spans="1:2">
      <c r="A27" s="283"/>
      <c r="B27"/>
    </row>
    <row r="28" spans="1:2">
      <c r="A28" s="283" t="s">
        <v>1930</v>
      </c>
      <c r="B28" s="306">
        <f>Pathology!J17+Pathology!J31</f>
        <v>0</v>
      </c>
    </row>
    <row r="29" spans="1:2">
      <c r="A29" t="s">
        <v>1695</v>
      </c>
      <c r="B29" s="306">
        <f>Pharmacy!J17+Pharmacy!J27+Pharmacy!J44</f>
        <v>0</v>
      </c>
    </row>
    <row r="30" spans="1:2">
      <c r="A30" s="328" t="s">
        <v>1705</v>
      </c>
      <c r="B30" s="307">
        <f>Radiology!K17+Radiology!K30+Radiology!K43</f>
        <v>0</v>
      </c>
    </row>
    <row r="31" spans="1:2" customFormat="1">
      <c r="A31" s="328" t="s">
        <v>1931</v>
      </c>
      <c r="B31" s="307">
        <f>CRF!L27+CRF!L46+CRF!L63</f>
        <v>0</v>
      </c>
    </row>
    <row r="32" spans="1:2">
      <c r="A32" s="304" t="s">
        <v>2061</v>
      </c>
      <c r="B32" s="298">
        <f>'Additional Study Activities'!N27+'Additional Study Activities'!N46+'Additional Study Activities'!N63</f>
        <v>0</v>
      </c>
    </row>
    <row r="33" spans="1:2">
      <c r="A33" s="304" t="s">
        <v>2062</v>
      </c>
      <c r="B33" s="299">
        <f>'Set-up and other costs'!C10</f>
        <v>500</v>
      </c>
    </row>
    <row r="34" spans="1:2">
      <c r="A34" s="304" t="s">
        <v>2063</v>
      </c>
      <c r="B34" s="298">
        <f>'Study Information &amp; rates'!B27*'Per patient Arm 1'!B1</f>
        <v>0</v>
      </c>
    </row>
    <row r="35" spans="1:2">
      <c r="A35" s="304" t="s">
        <v>2064</v>
      </c>
      <c r="B35" s="298">
        <f>'Per patient Arm 2'!A2*'Study Information &amp; rates'!B28</f>
        <v>0</v>
      </c>
    </row>
    <row r="36" spans="1:2">
      <c r="A36" s="304" t="s">
        <v>2065</v>
      </c>
      <c r="B36" s="298">
        <f>'Per patient Arm 3'!A2*'Study Information &amp; rates'!B29</f>
        <v>0</v>
      </c>
    </row>
    <row r="37" spans="1:2">
      <c r="A37" s="304" t="s">
        <v>2066</v>
      </c>
      <c r="B37" s="298">
        <f>'Per patient Arm 4'!A2*'Study Information &amp; rates'!B30</f>
        <v>0</v>
      </c>
    </row>
    <row r="38" spans="1:2">
      <c r="A38" s="304" t="s">
        <v>2067</v>
      </c>
      <c r="B38" s="298">
        <f>'Per patient Arm 5'!A2*'Study Information &amp; rates'!B31</f>
        <v>0</v>
      </c>
    </row>
    <row r="39" spans="1:2">
      <c r="A39" s="790" t="s">
        <v>2339</v>
      </c>
      <c r="B39" s="304">
        <f>'Total Summary and Budget'!J40</f>
        <v>0</v>
      </c>
    </row>
    <row r="40" spans="1:2">
      <c r="A40" s="304" t="s">
        <v>50</v>
      </c>
      <c r="B40" s="298">
        <f>SUM(B28:B39)</f>
        <v>500</v>
      </c>
    </row>
    <row r="41" spans="1:2">
      <c r="A41" s="304"/>
      <c r="B41" s="304"/>
    </row>
    <row r="42" spans="1:2" ht="13" thickBot="1">
      <c r="A42" s="304" t="s">
        <v>63</v>
      </c>
      <c r="B42" s="300">
        <f>Reconciliation!B40-'Total Summary and Budget'!B6</f>
        <v>0</v>
      </c>
    </row>
    <row r="43" spans="1:2" ht="13" thickTop="1">
      <c r="A43" s="283"/>
      <c r="B43"/>
    </row>
    <row r="44" ht="13" thickBot="1"/>
    <row r="45" spans="1:6" ht="13" thickTop="1">
      <c r="A45" s="330" t="s">
        <v>2121</v>
      </c>
      <c r="B45" s="331"/>
      <c r="C45" s="331"/>
      <c r="D45" s="338"/>
      <c r="E45" s="332" t="s">
        <v>2142</v>
      </c>
      <c r="F45" s="343" t="s">
        <v>2143</v>
      </c>
    </row>
    <row r="46" spans="1:6">
      <c r="A46" s="333">
        <v>1</v>
      </c>
      <c r="B46" s="249" t="s">
        <v>2123</v>
      </c>
      <c r="C46" s="341">
        <v>10000</v>
      </c>
      <c r="D46" s="339" t="s">
        <v>2125</v>
      </c>
      <c r="E46" s="334">
        <v>76.07</v>
      </c>
      <c r="F46" s="334">
        <v>72.49</v>
      </c>
    </row>
    <row r="47" spans="1:6">
      <c r="A47" s="333">
        <v>2</v>
      </c>
      <c r="B47" s="249" t="s">
        <v>2122</v>
      </c>
      <c r="C47" s="341">
        <v>10000</v>
      </c>
      <c r="D47" s="339" t="s">
        <v>2126</v>
      </c>
      <c r="E47" s="334">
        <v>266.24</v>
      </c>
      <c r="F47" s="334">
        <v>253.7</v>
      </c>
    </row>
    <row r="48" spans="1:6" ht="13" thickBot="1">
      <c r="A48" s="335">
        <v>3</v>
      </c>
      <c r="B48" s="336" t="s">
        <v>2124</v>
      </c>
      <c r="C48" s="336"/>
      <c r="D48" s="340" t="s">
        <v>2127</v>
      </c>
      <c r="E48" s="337">
        <v>836.75</v>
      </c>
      <c r="F48" s="337">
        <v>797.35</v>
      </c>
    </row>
    <row r="49" ht="13" thickTop="1"/>
    <row r="51" spans="1:2">
      <c r="A51" t="s">
        <v>2128</v>
      </c>
      <c r="B51">
        <f>IF('Study Information &amp; rates'!B89&lt;10000,(E46*'Study Information &amp; rates'!B32),('Study Information &amp; rates'!B32*Reconciliation!E47))</f>
        <v>0</v>
      </c>
    </row>
    <row r="53" spans="1:2">
      <c r="A53" t="s">
        <v>2124</v>
      </c>
      <c r="B53">
        <f>IF('Study Information &amp; rates'!B90="yes",(E48*'Study Information &amp; rates'!B32),0)</f>
        <v>0</v>
      </c>
    </row>
  </sheetData>
  <pageMargins left="0.7" right="0.7" top="0.75" bottom="0.75" header="0.3" footer="0.3"/>
  <pageSetup paperSize="9" orientation="portrait"/>
  <headerFooter scaleWithDoc="1" alignWithMargins="0" differentFirst="0" differentOddEven="0"/>
  <drawing r:id="rId2"/>
  <extLst/>
</worksheet>
</file>

<file path=xl/worksheets/sheet2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30">
    <pageSetUpPr fitToPage="1"/>
  </sheetPr>
  <dimension ref="A1:P22"/>
  <sheetViews>
    <sheetView view="normal" workbookViewId="0">
      <selection pane="topLeft" activeCell="C21" sqref="C21"/>
    </sheetView>
  </sheetViews>
  <sheetFormatPr defaultRowHeight="12.5"/>
  <cols>
    <col min="1" max="1" width="3.140625" customWidth="1"/>
    <col min="13" max="13" width="10.140625" customWidth="1"/>
  </cols>
  <sheetData>
    <row r="1" ht="15" customHeight="1" thickBot="1"/>
    <row r="2" spans="2:14" ht="13.5" customHeight="1">
      <c r="B2" s="206"/>
      <c r="C2" s="207"/>
      <c r="D2" s="207"/>
      <c r="E2" s="207"/>
      <c r="F2" s="207"/>
      <c r="G2" s="207"/>
      <c r="H2" s="207"/>
      <c r="I2" s="207"/>
      <c r="J2" s="207"/>
      <c r="K2" s="207"/>
      <c r="L2" s="207"/>
      <c r="M2" s="207"/>
      <c r="N2" s="208"/>
    </row>
    <row r="3" spans="2:14" ht="13.5" customHeight="1">
      <c r="B3" s="209" t="s">
        <v>1871</v>
      </c>
      <c r="C3" s="210"/>
      <c r="D3" s="210"/>
      <c r="E3" s="210"/>
      <c r="F3" s="210"/>
      <c r="G3" s="211" t="s">
        <v>1872</v>
      </c>
      <c r="H3" s="211"/>
      <c r="I3" s="211"/>
      <c r="J3" s="211"/>
      <c r="K3" s="211"/>
      <c r="L3" s="211"/>
      <c r="M3" s="211"/>
      <c r="N3" s="212"/>
    </row>
    <row r="4" spans="2:14" ht="13.5" customHeight="1">
      <c r="B4" s="213"/>
      <c r="C4" s="210"/>
      <c r="D4" s="210"/>
      <c r="E4" s="210"/>
      <c r="F4" s="210"/>
      <c r="G4" s="210"/>
      <c r="H4" s="210"/>
      <c r="I4" s="210"/>
      <c r="J4" s="210"/>
      <c r="K4" s="210"/>
      <c r="L4" s="210"/>
      <c r="M4" s="210"/>
      <c r="N4" s="212"/>
    </row>
    <row r="5" spans="2:14" ht="13.5" customHeight="1">
      <c r="B5" s="214" t="s">
        <v>1873</v>
      </c>
      <c r="C5" s="215" t="s">
        <v>1874</v>
      </c>
      <c r="D5" s="216">
        <f>'[9]Study Information &amp; rates'!B10:H10</f>
        <v>0</v>
      </c>
      <c r="E5" s="210"/>
      <c r="F5" s="210"/>
      <c r="G5" s="210"/>
      <c r="H5" s="210"/>
      <c r="I5" s="210"/>
      <c r="J5" s="210"/>
      <c r="K5" s="210"/>
      <c r="L5" s="210"/>
      <c r="M5" s="210"/>
      <c r="N5" s="212"/>
    </row>
    <row r="6" spans="2:14" ht="13.5" customHeight="1">
      <c r="B6" s="213"/>
      <c r="C6" s="210"/>
      <c r="D6" s="210"/>
      <c r="E6" s="210"/>
      <c r="F6" s="210"/>
      <c r="G6" s="210"/>
      <c r="H6" s="210"/>
      <c r="I6" s="210"/>
      <c r="J6" s="210"/>
      <c r="K6" s="210"/>
      <c r="L6" s="210"/>
      <c r="M6" s="210"/>
      <c r="N6" s="212"/>
    </row>
    <row r="7" spans="1:16" ht="13.5" customHeight="1">
      <c r="A7" s="217"/>
      <c r="B7" s="214" t="s">
        <v>1875</v>
      </c>
      <c r="C7" s="211"/>
      <c r="D7" s="218"/>
      <c r="E7" s="218"/>
      <c r="F7" s="218"/>
      <c r="G7" s="211" t="s">
        <v>1876</v>
      </c>
      <c r="H7" s="211"/>
      <c r="I7" s="211"/>
      <c r="J7" s="211"/>
      <c r="K7" s="211"/>
      <c r="L7" s="211" t="s">
        <v>1877</v>
      </c>
      <c r="M7" s="219"/>
      <c r="N7" s="220"/>
      <c r="O7" s="217"/>
      <c r="P7" s="217"/>
    </row>
    <row r="8" spans="2:14" ht="13.5" customHeight="1">
      <c r="B8" s="213"/>
      <c r="C8" s="210"/>
      <c r="D8" s="210"/>
      <c r="E8" s="210"/>
      <c r="F8" s="210"/>
      <c r="G8" s="210"/>
      <c r="H8" s="210"/>
      <c r="I8" s="210"/>
      <c r="J8" s="210"/>
      <c r="K8" s="210"/>
      <c r="L8" s="210"/>
      <c r="M8" s="210"/>
      <c r="N8" s="212"/>
    </row>
    <row r="9" spans="2:14" ht="13.5" customHeight="1">
      <c r="B9" s="213"/>
      <c r="C9" s="210"/>
      <c r="D9" s="210"/>
      <c r="E9" s="210"/>
      <c r="F9" s="210"/>
      <c r="G9" s="210"/>
      <c r="H9" s="210"/>
      <c r="I9" s="210"/>
      <c r="J9" s="210"/>
      <c r="K9" s="210"/>
      <c r="L9" s="210"/>
      <c r="M9" s="210"/>
      <c r="N9" s="212"/>
    </row>
    <row r="10" spans="1:16" ht="13.5" customHeight="1">
      <c r="A10" s="217"/>
      <c r="B10" s="214" t="s">
        <v>1878</v>
      </c>
      <c r="C10" s="211"/>
      <c r="D10" s="211"/>
      <c r="E10" s="211"/>
      <c r="F10" s="211"/>
      <c r="G10" s="211" t="s">
        <v>1967</v>
      </c>
      <c r="H10" s="211"/>
      <c r="I10" s="211"/>
      <c r="J10" s="211"/>
      <c r="K10" s="211"/>
      <c r="L10" s="211"/>
      <c r="M10" s="211"/>
      <c r="N10" s="221"/>
      <c r="O10" s="217"/>
      <c r="P10" s="217"/>
    </row>
    <row r="11" spans="2:14" ht="13.5" customHeight="1">
      <c r="B11" s="213"/>
      <c r="C11" s="210"/>
      <c r="D11" s="210"/>
      <c r="E11" s="210"/>
      <c r="F11" s="210"/>
      <c r="G11" s="210"/>
      <c r="H11" s="210"/>
      <c r="I11" s="210"/>
      <c r="J11" s="210"/>
      <c r="K11" s="210"/>
      <c r="L11" s="210"/>
      <c r="M11" s="210"/>
      <c r="N11" s="212"/>
    </row>
    <row r="12" spans="1:16" ht="13.5" customHeight="1">
      <c r="A12" s="217"/>
      <c r="B12" s="214" t="s">
        <v>1879</v>
      </c>
      <c r="C12" s="211"/>
      <c r="D12" s="211"/>
      <c r="E12" s="211"/>
      <c r="F12" s="211"/>
      <c r="G12" s="211" t="s">
        <v>1880</v>
      </c>
      <c r="H12" s="211"/>
      <c r="I12" s="211"/>
      <c r="J12" s="211"/>
      <c r="K12" s="211" t="s">
        <v>1881</v>
      </c>
      <c r="L12" s="211"/>
      <c r="M12" s="211"/>
      <c r="N12" s="221"/>
      <c r="O12" s="217"/>
      <c r="P12" s="217"/>
    </row>
    <row r="13" spans="2:14" ht="13.5" customHeight="1">
      <c r="B13" s="213"/>
      <c r="C13" s="210" t="s">
        <v>1882</v>
      </c>
      <c r="D13" s="210"/>
      <c r="E13" s="210"/>
      <c r="F13" s="210"/>
      <c r="G13" s="210"/>
      <c r="H13" s="210" t="s">
        <v>1883</v>
      </c>
      <c r="I13" s="210"/>
      <c r="J13" s="210"/>
      <c r="K13" s="210"/>
      <c r="L13" s="210"/>
      <c r="M13" s="210"/>
      <c r="N13" s="212"/>
    </row>
    <row r="14" spans="2:14" ht="13.5" customHeight="1">
      <c r="B14" s="213"/>
      <c r="C14" s="210"/>
      <c r="D14" s="210"/>
      <c r="E14" s="210"/>
      <c r="F14" s="210"/>
      <c r="G14" s="210"/>
      <c r="H14" s="210" t="s">
        <v>1884</v>
      </c>
      <c r="I14" s="210"/>
      <c r="J14" s="210"/>
      <c r="K14" s="210"/>
      <c r="L14" s="210"/>
      <c r="M14" s="210"/>
      <c r="N14" s="212"/>
    </row>
    <row r="15" spans="2:14" ht="13.5" customHeight="1">
      <c r="B15" s="213"/>
      <c r="C15" s="210" t="s">
        <v>1885</v>
      </c>
      <c r="D15" s="210"/>
      <c r="E15" s="210"/>
      <c r="F15" s="210"/>
      <c r="G15" s="210"/>
      <c r="H15" s="210" t="s">
        <v>1886</v>
      </c>
      <c r="I15" s="210"/>
      <c r="J15" s="210"/>
      <c r="K15" s="210"/>
      <c r="L15" s="210" t="s">
        <v>1887</v>
      </c>
      <c r="M15" s="210"/>
      <c r="N15" s="212"/>
    </row>
    <row r="16" spans="2:14" ht="13.5" customHeight="1">
      <c r="B16" s="213"/>
      <c r="C16" s="210"/>
      <c r="D16" s="210"/>
      <c r="E16" s="210"/>
      <c r="F16" s="210"/>
      <c r="G16" s="210"/>
      <c r="H16" s="222" t="s">
        <v>1888</v>
      </c>
      <c r="I16" s="210"/>
      <c r="J16" s="210"/>
      <c r="K16" s="210"/>
      <c r="L16" s="222"/>
      <c r="M16" s="210"/>
      <c r="N16" s="212"/>
    </row>
    <row r="17" spans="2:14" ht="13.5" customHeight="1">
      <c r="B17" s="213"/>
      <c r="C17" s="210" t="s">
        <v>1889</v>
      </c>
      <c r="D17" s="210"/>
      <c r="E17" s="210"/>
      <c r="F17" s="210"/>
      <c r="G17" s="210"/>
      <c r="H17" s="210" t="s">
        <v>1890</v>
      </c>
      <c r="I17" s="210"/>
      <c r="J17" s="210"/>
      <c r="K17" s="210"/>
      <c r="L17" s="210" t="s">
        <v>1891</v>
      </c>
      <c r="M17" s="210"/>
      <c r="N17" s="212"/>
    </row>
    <row r="18" spans="2:14" ht="13.5" customHeight="1">
      <c r="B18" s="213"/>
      <c r="C18" s="210"/>
      <c r="D18" s="210"/>
      <c r="E18" s="210"/>
      <c r="F18" s="210"/>
      <c r="G18" s="210"/>
      <c r="H18" s="222" t="s">
        <v>1892</v>
      </c>
      <c r="I18" s="210"/>
      <c r="J18" s="210"/>
      <c r="K18" s="210"/>
      <c r="L18" s="222" t="s">
        <v>1893</v>
      </c>
      <c r="M18" s="210"/>
      <c r="N18" s="212"/>
    </row>
    <row r="19" spans="2:14" ht="13.5" customHeight="1">
      <c r="B19" s="213"/>
      <c r="C19" s="210" t="s">
        <v>1894</v>
      </c>
      <c r="D19" s="210"/>
      <c r="E19" s="210"/>
      <c r="F19" s="210"/>
      <c r="G19" s="210"/>
      <c r="H19" s="210"/>
      <c r="I19" s="210"/>
      <c r="J19" s="210"/>
      <c r="K19" s="210"/>
      <c r="L19" s="210"/>
      <c r="M19" s="210"/>
      <c r="N19" s="212"/>
    </row>
    <row r="20" spans="2:14" ht="13.5" customHeight="1">
      <c r="B20" s="213"/>
      <c r="C20" s="210"/>
      <c r="D20" s="210"/>
      <c r="E20" s="210"/>
      <c r="F20" s="210"/>
      <c r="G20" s="210"/>
      <c r="H20" s="210"/>
      <c r="I20" s="210"/>
      <c r="J20" s="210"/>
      <c r="K20" s="210"/>
      <c r="L20" s="210"/>
      <c r="M20" s="210"/>
      <c r="N20" s="212"/>
    </row>
    <row r="21" spans="2:14" ht="13.5" customHeight="1">
      <c r="B21" s="213"/>
      <c r="C21" s="210" t="s">
        <v>1895</v>
      </c>
      <c r="D21" s="210"/>
      <c r="E21" s="210"/>
      <c r="F21" s="210"/>
      <c r="G21" s="210"/>
      <c r="H21" s="210"/>
      <c r="I21" s="210"/>
      <c r="J21" s="210"/>
      <c r="K21" s="210"/>
      <c r="L21" s="210"/>
      <c r="M21" s="210"/>
      <c r="N21" s="212"/>
    </row>
    <row r="22" spans="2:14" ht="13.5" customHeight="1" thickBot="1">
      <c r="B22" s="223"/>
      <c r="C22" s="224"/>
      <c r="D22" s="224"/>
      <c r="E22" s="224"/>
      <c r="F22" s="224"/>
      <c r="G22" s="224"/>
      <c r="H22" s="224"/>
      <c r="I22" s="224"/>
      <c r="J22" s="224"/>
      <c r="K22" s="224"/>
      <c r="L22" s="224"/>
      <c r="M22" s="224"/>
      <c r="N22" s="225"/>
    </row>
  </sheetData>
  <pageMargins left="0.70866141732283472" right="0.70866141732283472" top="0.74803149606299213" bottom="0.74803149606299213" header="0.31496062992125984" footer="0.31496062992125984"/>
  <pageSetup paperSize="9" orientation="landscape"/>
  <headerFooter scaleWithDoc="1" alignWithMargins="0" differentFirst="0" differentOddEven="0"/>
  <drawing r:id="rId2"/>
  <legacyDrawing r:id="rId3"/>
  <mc:AlternateContent xmlns:mc="http://schemas.openxmlformats.org/markup-compatibility/2006">
    <mc:Choice xmlns:a14="http://schemas.microsoft.com/office/drawing/2010/main" Requires="x14">
      <controls xmlns="http://schemas.openxmlformats.org/spreadsheetml/2006/main">
        <mc:AlternateContent xmlns:mc="http://schemas.openxmlformats.org/markup-compatibility/2006">
          <mc:Choice Requires="x14">
            <control xmlns:r="http://schemas.openxmlformats.org/officeDocument/2006/relationships" shapeId="8193" r:id="rId4" name="Check Box 1">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11</xdr:row>
                    <xdr:rowOff xmlns:xdr="http://schemas.openxmlformats.org/drawingml/2006/spreadsheetDrawing">145732</xdr:rowOff>
                  </from>
                  <to>
                    <xdr:col xmlns:xdr="http://schemas.openxmlformats.org/drawingml/2006/spreadsheetDrawing">1</xdr:col>
                    <xdr:colOff xmlns:xdr="http://schemas.openxmlformats.org/drawingml/2006/spreadsheetDrawing">342900</xdr:colOff>
                    <xdr:row xmlns:xdr="http://schemas.openxmlformats.org/drawingml/2006/spreadsheetDrawing">13</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4" r:id="rId5" name="Check Box 2">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13</xdr:row>
                    <xdr:rowOff xmlns:xdr="http://schemas.openxmlformats.org/drawingml/2006/spreadsheetDrawing">145732</xdr:rowOff>
                  </from>
                  <to>
                    <xdr:col xmlns:xdr="http://schemas.openxmlformats.org/drawingml/2006/spreadsheetDrawing">1</xdr:col>
                    <xdr:colOff xmlns:xdr="http://schemas.openxmlformats.org/drawingml/2006/spreadsheetDrawing">342900</xdr:colOff>
                    <xdr:row xmlns:xdr="http://schemas.openxmlformats.org/drawingml/2006/spreadsheetDrawing">15</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5" r:id="rId6" name="Check Box 3">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15</xdr:row>
                    <xdr:rowOff xmlns:xdr="http://schemas.openxmlformats.org/drawingml/2006/spreadsheetDrawing">145732</xdr:rowOff>
                  </from>
                  <to>
                    <xdr:col xmlns:xdr="http://schemas.openxmlformats.org/drawingml/2006/spreadsheetDrawing">1</xdr:col>
                    <xdr:colOff xmlns:xdr="http://schemas.openxmlformats.org/drawingml/2006/spreadsheetDrawing">342900</xdr:colOff>
                    <xdr:row xmlns:xdr="http://schemas.openxmlformats.org/drawingml/2006/spreadsheetDrawing">17</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6" r:id="rId7" name="Check Box 4">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17</xdr:row>
                    <xdr:rowOff xmlns:xdr="http://schemas.openxmlformats.org/drawingml/2006/spreadsheetDrawing">145732</xdr:rowOff>
                  </from>
                  <to>
                    <xdr:col xmlns:xdr="http://schemas.openxmlformats.org/drawingml/2006/spreadsheetDrawing">1</xdr:col>
                    <xdr:colOff xmlns:xdr="http://schemas.openxmlformats.org/drawingml/2006/spreadsheetDrawing">342900</xdr:colOff>
                    <xdr:row xmlns:xdr="http://schemas.openxmlformats.org/drawingml/2006/spreadsheetDrawing">19</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7" r:id="rId8" name="Check Box 5">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19</xdr:row>
                    <xdr:rowOff xmlns:xdr="http://schemas.openxmlformats.org/drawingml/2006/spreadsheetDrawing">152400</xdr:rowOff>
                  </from>
                  <to>
                    <xdr:col xmlns:xdr="http://schemas.openxmlformats.org/drawingml/2006/spreadsheetDrawing">1</xdr:col>
                    <xdr:colOff xmlns:xdr="http://schemas.openxmlformats.org/drawingml/2006/spreadsheetDrawing">342900</xdr:colOff>
                    <xdr:row xmlns:xdr="http://schemas.openxmlformats.org/drawingml/2006/spreadsheetDrawing">21</xdr:row>
                    <xdr:rowOff xmlns:xdr="http://schemas.openxmlformats.org/drawingml/2006/spreadsheetDrawing">31432</xdr:rowOff>
                  </to>
                </anchor>
              </controlPr>
            </control>
          </mc:Choice>
        </mc:AlternateContent>
        <mc:AlternateContent xmlns:mc="http://schemas.openxmlformats.org/markup-compatibility/2006">
          <mc:Choice Requires="x14">
            <control xmlns:r="http://schemas.openxmlformats.org/officeDocument/2006/relationships" shapeId="8198" r:id="rId9" name="Check Box 6">
              <controlPr defaultSize="0" autoFill="0" autoLine="0" autoPict="0">
                <anchor moveWithCells="1">
                  <from>
                    <xdr:col xmlns:xdr="http://schemas.openxmlformats.org/drawingml/2006/spreadsheetDrawing">6</xdr:col>
                    <xdr:colOff xmlns:xdr="http://schemas.openxmlformats.org/drawingml/2006/spreadsheetDrawing">50602</xdr:colOff>
                    <xdr:row xmlns:xdr="http://schemas.openxmlformats.org/drawingml/2006/spreadsheetDrawing">11</xdr:row>
                    <xdr:rowOff xmlns:xdr="http://schemas.openxmlformats.org/drawingml/2006/spreadsheetDrawing">145732</xdr:rowOff>
                  </from>
                  <to>
                    <xdr:col xmlns:xdr="http://schemas.openxmlformats.org/drawingml/2006/spreadsheetDrawing">6</xdr:col>
                    <xdr:colOff xmlns:xdr="http://schemas.openxmlformats.org/drawingml/2006/spreadsheetDrawing">355402</xdr:colOff>
                    <xdr:row xmlns:xdr="http://schemas.openxmlformats.org/drawingml/2006/spreadsheetDrawing">13</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9" r:id="rId10" name="Check Box 7">
              <controlPr defaultSize="0" autoFill="0" autoLine="0" autoPict="0">
                <anchor moveWithCells="1">
                  <from>
                    <xdr:col xmlns:xdr="http://schemas.openxmlformats.org/drawingml/2006/spreadsheetDrawing">6</xdr:col>
                    <xdr:colOff xmlns:xdr="http://schemas.openxmlformats.org/drawingml/2006/spreadsheetDrawing">50602</xdr:colOff>
                    <xdr:row xmlns:xdr="http://schemas.openxmlformats.org/drawingml/2006/spreadsheetDrawing">13</xdr:row>
                    <xdr:rowOff xmlns:xdr="http://schemas.openxmlformats.org/drawingml/2006/spreadsheetDrawing">145732</xdr:rowOff>
                  </from>
                  <to>
                    <xdr:col xmlns:xdr="http://schemas.openxmlformats.org/drawingml/2006/spreadsheetDrawing">6</xdr:col>
                    <xdr:colOff xmlns:xdr="http://schemas.openxmlformats.org/drawingml/2006/spreadsheetDrawing">355402</xdr:colOff>
                    <xdr:row xmlns:xdr="http://schemas.openxmlformats.org/drawingml/2006/spreadsheetDrawing">15</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200" r:id="rId11" name="Check Box 8">
              <controlPr defaultSize="0" autoFill="0" autoLine="0" autoPict="0">
                <anchor moveWithCells="1">
                  <from>
                    <xdr:col xmlns:xdr="http://schemas.openxmlformats.org/drawingml/2006/spreadsheetDrawing">6</xdr:col>
                    <xdr:colOff xmlns:xdr="http://schemas.openxmlformats.org/drawingml/2006/spreadsheetDrawing">50602</xdr:colOff>
                    <xdr:row xmlns:xdr="http://schemas.openxmlformats.org/drawingml/2006/spreadsheetDrawing">15</xdr:row>
                    <xdr:rowOff xmlns:xdr="http://schemas.openxmlformats.org/drawingml/2006/spreadsheetDrawing">145732</xdr:rowOff>
                  </from>
                  <to>
                    <xdr:col xmlns:xdr="http://schemas.openxmlformats.org/drawingml/2006/spreadsheetDrawing">6</xdr:col>
                    <xdr:colOff xmlns:xdr="http://schemas.openxmlformats.org/drawingml/2006/spreadsheetDrawing">355402</xdr:colOff>
                    <xdr:row xmlns:xdr="http://schemas.openxmlformats.org/drawingml/2006/spreadsheetDrawing">17</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201" r:id="rId12" name="Check Box 9">
              <controlPr defaultSize="0" autoFill="0" autoLine="0" autoPict="0">
                <anchor moveWithCells="1">
                  <from>
                    <xdr:col xmlns:xdr="http://schemas.openxmlformats.org/drawingml/2006/spreadsheetDrawing">10</xdr:col>
                    <xdr:colOff xmlns:xdr="http://schemas.openxmlformats.org/drawingml/2006/spreadsheetDrawing">50602</xdr:colOff>
                    <xdr:row xmlns:xdr="http://schemas.openxmlformats.org/drawingml/2006/spreadsheetDrawing">13</xdr:row>
                    <xdr:rowOff xmlns:xdr="http://schemas.openxmlformats.org/drawingml/2006/spreadsheetDrawing">133350</xdr:rowOff>
                  </from>
                  <to>
                    <xdr:col xmlns:xdr="http://schemas.openxmlformats.org/drawingml/2006/spreadsheetDrawing">10</xdr:col>
                    <xdr:colOff xmlns:xdr="http://schemas.openxmlformats.org/drawingml/2006/spreadsheetDrawing">355402</xdr:colOff>
                    <xdr:row xmlns:xdr="http://schemas.openxmlformats.org/drawingml/2006/spreadsheetDrawing">15</xdr:row>
                    <xdr:rowOff xmlns:xdr="http://schemas.openxmlformats.org/drawingml/2006/spreadsheetDrawing">12382</xdr:rowOff>
                  </to>
                </anchor>
              </controlPr>
            </control>
          </mc:Choice>
        </mc:AlternateContent>
        <mc:AlternateContent xmlns:mc="http://schemas.openxmlformats.org/markup-compatibility/2006">
          <mc:Choice Requires="x14">
            <control xmlns:r="http://schemas.openxmlformats.org/officeDocument/2006/relationships" shapeId="8202" r:id="rId13" name="Check Box 10">
              <controlPr defaultSize="0" autoFill="0" autoLine="0" autoPict="0">
                <anchor moveWithCells="1">
                  <from>
                    <xdr:col xmlns:xdr="http://schemas.openxmlformats.org/drawingml/2006/spreadsheetDrawing">10</xdr:col>
                    <xdr:colOff xmlns:xdr="http://schemas.openxmlformats.org/drawingml/2006/spreadsheetDrawing">50602</xdr:colOff>
                    <xdr:row xmlns:xdr="http://schemas.openxmlformats.org/drawingml/2006/spreadsheetDrawing">15</xdr:row>
                    <xdr:rowOff xmlns:xdr="http://schemas.openxmlformats.org/drawingml/2006/spreadsheetDrawing">145732</xdr:rowOff>
                  </from>
                  <to>
                    <xdr:col xmlns:xdr="http://schemas.openxmlformats.org/drawingml/2006/spreadsheetDrawing">10</xdr:col>
                    <xdr:colOff xmlns:xdr="http://schemas.openxmlformats.org/drawingml/2006/spreadsheetDrawing">355402</xdr:colOff>
                    <xdr:row xmlns:xdr="http://schemas.openxmlformats.org/drawingml/2006/spreadsheetDrawing">17</xdr:row>
                    <xdr:rowOff xmlns:xdr="http://schemas.openxmlformats.org/drawingml/2006/spreadsheetDrawing">19050</xdr:rowOff>
                  </to>
                </anchor>
              </controlPr>
            </control>
          </mc:Choice>
        </mc:AlternateContent>
      </controls>
    </mc:Choice>
  </mc:AlternateContent>
  <extLst/>
</worksheet>
</file>

<file path=xl/worksheets/sheet2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3">
    <pageSetUpPr fitToPage="1"/>
  </sheetPr>
  <dimension ref="A1:WWD1365"/>
  <sheetViews>
    <sheetView view="normal" workbookViewId="0">
      <selection pane="topLeft" activeCell="H143" sqref="H143"/>
    </sheetView>
  </sheetViews>
  <sheetFormatPr defaultRowHeight="12.5"/>
  <cols>
    <col min="1" max="1" width="54.84765625" style="59" customWidth="1"/>
    <col min="2" max="2" width="12" style="59" customWidth="1"/>
    <col min="3" max="3" width="10.5703125" style="59" customWidth="1"/>
    <col min="4" max="4" width="78" style="59" customWidth="1"/>
    <col min="5" max="5" width="46.27734375" style="59" customWidth="1"/>
    <col min="6" max="6" width="20" style="59" customWidth="1"/>
    <col min="7" max="7" width="12" style="59" customWidth="1"/>
    <col min="8" max="8" width="16.84765625" style="59" customWidth="1"/>
    <col min="9" max="9" width="11.5703125" style="59" customWidth="1"/>
    <col min="10" max="10" width="9.27734375" style="59" customWidth="1"/>
    <col min="11" max="11" width="9.140625" style="59" customWidth="1"/>
    <col min="12" max="12" width="34.5703125" style="59" customWidth="1"/>
    <col min="13" max="19" width="9.140625" style="59" customWidth="1"/>
    <col min="20" max="20" width="35.7109375" style="59" customWidth="1"/>
    <col min="21" max="21" width="9.140625" style="59" customWidth="1"/>
    <col min="22" max="22" width="11" style="67" customWidth="1"/>
    <col min="23" max="256" width="9.140625" style="59" customWidth="1"/>
    <col min="257" max="257" width="54.84765625" style="59" customWidth="1"/>
    <col min="258" max="258" width="12" style="59" customWidth="1"/>
    <col min="259" max="259" width="10.5703125" style="59" customWidth="1"/>
    <col min="260" max="260" width="78" style="59" customWidth="1"/>
    <col min="261" max="261" width="46.27734375" style="59" customWidth="1"/>
    <col min="262" max="262" width="20" style="59" customWidth="1"/>
    <col min="263" max="263" width="12" style="59" customWidth="1"/>
    <col min="264" max="264" width="16.84765625" style="59" customWidth="1"/>
    <col min="265" max="265" width="11.5703125" style="59" customWidth="1"/>
    <col min="266" max="266" width="9.27734375" style="59" customWidth="1"/>
    <col min="267" max="267" width="9.140625" style="59" customWidth="1"/>
    <col min="268" max="268" width="34.5703125" style="59" customWidth="1"/>
    <col min="269" max="275" width="9.140625" style="59" customWidth="1"/>
    <col min="276" max="276" width="35.7109375" style="59" customWidth="1"/>
    <col min="277" max="277" width="9.140625" style="59" customWidth="1"/>
    <col min="278" max="278" width="11" style="59" customWidth="1"/>
    <col min="279" max="512" width="9.140625" style="59" customWidth="1"/>
    <col min="513" max="513" width="54.84765625" style="59" customWidth="1"/>
    <col min="514" max="514" width="12" style="59" customWidth="1"/>
    <col min="515" max="515" width="10.5703125" style="59" customWidth="1"/>
    <col min="516" max="516" width="78" style="59" customWidth="1"/>
    <col min="517" max="517" width="46.27734375" style="59" customWidth="1"/>
    <col min="518" max="518" width="20" style="59" customWidth="1"/>
    <col min="519" max="519" width="12" style="59" customWidth="1"/>
    <col min="520" max="520" width="16.84765625" style="59" customWidth="1"/>
    <col min="521" max="521" width="11.5703125" style="59" customWidth="1"/>
    <col min="522" max="522" width="9.27734375" style="59" customWidth="1"/>
    <col min="523" max="523" width="9.140625" style="59" customWidth="1"/>
    <col min="524" max="524" width="34.5703125" style="59" customWidth="1"/>
    <col min="525" max="531" width="9.140625" style="59" customWidth="1"/>
    <col min="532" max="532" width="35.7109375" style="59" customWidth="1"/>
    <col min="533" max="533" width="9.140625" style="59" customWidth="1"/>
    <col min="534" max="534" width="11" style="59" customWidth="1"/>
    <col min="535" max="768" width="9.140625" style="59" customWidth="1"/>
    <col min="769" max="769" width="54.84765625" style="59" customWidth="1"/>
    <col min="770" max="770" width="12" style="59" customWidth="1"/>
    <col min="771" max="771" width="10.5703125" style="59" customWidth="1"/>
    <col min="772" max="772" width="78" style="59" customWidth="1"/>
    <col min="773" max="773" width="46.27734375" style="59" customWidth="1"/>
    <col min="774" max="774" width="20" style="59" customWidth="1"/>
    <col min="775" max="775" width="12" style="59" customWidth="1"/>
    <col min="776" max="776" width="16.84765625" style="59" customWidth="1"/>
    <col min="777" max="777" width="11.5703125" style="59" customWidth="1"/>
    <col min="778" max="778" width="9.27734375" style="59" customWidth="1"/>
    <col min="779" max="779" width="9.140625" style="59" customWidth="1"/>
    <col min="780" max="780" width="34.5703125" style="59" customWidth="1"/>
    <col min="781" max="787" width="9.140625" style="59" customWidth="1"/>
    <col min="788" max="788" width="35.7109375" style="59" customWidth="1"/>
    <col min="789" max="789" width="9.140625" style="59" customWidth="1"/>
    <col min="790" max="790" width="11" style="59" customWidth="1"/>
    <col min="791" max="1024" width="9.140625" style="59" customWidth="1"/>
    <col min="1025" max="1025" width="54.84765625" style="59" customWidth="1"/>
    <col min="1026" max="1026" width="12" style="59" customWidth="1"/>
    <col min="1027" max="1027" width="10.5703125" style="59" customWidth="1"/>
    <col min="1028" max="1028" width="78" style="59" customWidth="1"/>
    <col min="1029" max="1029" width="46.27734375" style="59" customWidth="1"/>
    <col min="1030" max="1030" width="20" style="59" customWidth="1"/>
    <col min="1031" max="1031" width="12" style="59" customWidth="1"/>
    <col min="1032" max="1032" width="16.84765625" style="59" customWidth="1"/>
    <col min="1033" max="1033" width="11.5703125" style="59" customWidth="1"/>
    <col min="1034" max="1034" width="9.27734375" style="59" customWidth="1"/>
    <col min="1035" max="1035" width="9.140625" style="59" customWidth="1"/>
    <col min="1036" max="1036" width="34.5703125" style="59" customWidth="1"/>
    <col min="1037" max="1043" width="9.140625" style="59" customWidth="1"/>
    <col min="1044" max="1044" width="35.7109375" style="59" customWidth="1"/>
    <col min="1045" max="1045" width="9.140625" style="59" customWidth="1"/>
    <col min="1046" max="1046" width="11" style="59" customWidth="1"/>
    <col min="1047" max="1280" width="9.140625" style="59" customWidth="1"/>
    <col min="1281" max="1281" width="54.84765625" style="59" customWidth="1"/>
    <col min="1282" max="1282" width="12" style="59" customWidth="1"/>
    <col min="1283" max="1283" width="10.5703125" style="59" customWidth="1"/>
    <col min="1284" max="1284" width="78" style="59" customWidth="1"/>
    <col min="1285" max="1285" width="46.27734375" style="59" customWidth="1"/>
    <col min="1286" max="1286" width="20" style="59" customWidth="1"/>
    <col min="1287" max="1287" width="12" style="59" customWidth="1"/>
    <col min="1288" max="1288" width="16.84765625" style="59" customWidth="1"/>
    <col min="1289" max="1289" width="11.5703125" style="59" customWidth="1"/>
    <col min="1290" max="1290" width="9.27734375" style="59" customWidth="1"/>
    <col min="1291" max="1291" width="9.140625" style="59" customWidth="1"/>
    <col min="1292" max="1292" width="34.5703125" style="59" customWidth="1"/>
    <col min="1293" max="1299" width="9.140625" style="59" customWidth="1"/>
    <col min="1300" max="1300" width="35.7109375" style="59" customWidth="1"/>
    <col min="1301" max="1301" width="9.140625" style="59" customWidth="1"/>
    <col min="1302" max="1302" width="11" style="59" customWidth="1"/>
    <col min="1303" max="1536" width="9.140625" style="59" customWidth="1"/>
    <col min="1537" max="1537" width="54.84765625" style="59" customWidth="1"/>
    <col min="1538" max="1538" width="12" style="59" customWidth="1"/>
    <col min="1539" max="1539" width="10.5703125" style="59" customWidth="1"/>
    <col min="1540" max="1540" width="78" style="59" customWidth="1"/>
    <col min="1541" max="1541" width="46.27734375" style="59" customWidth="1"/>
    <col min="1542" max="1542" width="20" style="59" customWidth="1"/>
    <col min="1543" max="1543" width="12" style="59" customWidth="1"/>
    <col min="1544" max="1544" width="16.84765625" style="59" customWidth="1"/>
    <col min="1545" max="1545" width="11.5703125" style="59" customWidth="1"/>
    <col min="1546" max="1546" width="9.27734375" style="59" customWidth="1"/>
    <col min="1547" max="1547" width="9.140625" style="59" customWidth="1"/>
    <col min="1548" max="1548" width="34.5703125" style="59" customWidth="1"/>
    <col min="1549" max="1555" width="9.140625" style="59" customWidth="1"/>
    <col min="1556" max="1556" width="35.7109375" style="59" customWidth="1"/>
    <col min="1557" max="1557" width="9.140625" style="59" customWidth="1"/>
    <col min="1558" max="1558" width="11" style="59" customWidth="1"/>
    <col min="1559" max="1792" width="9.140625" style="59" customWidth="1"/>
    <col min="1793" max="1793" width="54.84765625" style="59" customWidth="1"/>
    <col min="1794" max="1794" width="12" style="59" customWidth="1"/>
    <col min="1795" max="1795" width="10.5703125" style="59" customWidth="1"/>
    <col min="1796" max="1796" width="78" style="59" customWidth="1"/>
    <col min="1797" max="1797" width="46.27734375" style="59" customWidth="1"/>
    <col min="1798" max="1798" width="20" style="59" customWidth="1"/>
    <col min="1799" max="1799" width="12" style="59" customWidth="1"/>
    <col min="1800" max="1800" width="16.84765625" style="59" customWidth="1"/>
    <col min="1801" max="1801" width="11.5703125" style="59" customWidth="1"/>
    <col min="1802" max="1802" width="9.27734375" style="59" customWidth="1"/>
    <col min="1803" max="1803" width="9.140625" style="59" customWidth="1"/>
    <col min="1804" max="1804" width="34.5703125" style="59" customWidth="1"/>
    <col min="1805" max="1811" width="9.140625" style="59" customWidth="1"/>
    <col min="1812" max="1812" width="35.7109375" style="59" customWidth="1"/>
    <col min="1813" max="1813" width="9.140625" style="59" customWidth="1"/>
    <col min="1814" max="1814" width="11" style="59" customWidth="1"/>
    <col min="1815" max="2048" width="9.140625" style="59" customWidth="1"/>
    <col min="2049" max="2049" width="54.84765625" style="59" customWidth="1"/>
    <col min="2050" max="2050" width="12" style="59" customWidth="1"/>
    <col min="2051" max="2051" width="10.5703125" style="59" customWidth="1"/>
    <col min="2052" max="2052" width="78" style="59" customWidth="1"/>
    <col min="2053" max="2053" width="46.27734375" style="59" customWidth="1"/>
    <col min="2054" max="2054" width="20" style="59" customWidth="1"/>
    <col min="2055" max="2055" width="12" style="59" customWidth="1"/>
    <col min="2056" max="2056" width="16.84765625" style="59" customWidth="1"/>
    <col min="2057" max="2057" width="11.5703125" style="59" customWidth="1"/>
    <col min="2058" max="2058" width="9.27734375" style="59" customWidth="1"/>
    <col min="2059" max="2059" width="9.140625" style="59" customWidth="1"/>
    <col min="2060" max="2060" width="34.5703125" style="59" customWidth="1"/>
    <col min="2061" max="2067" width="9.140625" style="59" customWidth="1"/>
    <col min="2068" max="2068" width="35.7109375" style="59" customWidth="1"/>
    <col min="2069" max="2069" width="9.140625" style="59" customWidth="1"/>
    <col min="2070" max="2070" width="11" style="59" customWidth="1"/>
    <col min="2071" max="2304" width="9.140625" style="59" customWidth="1"/>
    <col min="2305" max="2305" width="54.84765625" style="59" customWidth="1"/>
    <col min="2306" max="2306" width="12" style="59" customWidth="1"/>
    <col min="2307" max="2307" width="10.5703125" style="59" customWidth="1"/>
    <col min="2308" max="2308" width="78" style="59" customWidth="1"/>
    <col min="2309" max="2309" width="46.27734375" style="59" customWidth="1"/>
    <col min="2310" max="2310" width="20" style="59" customWidth="1"/>
    <col min="2311" max="2311" width="12" style="59" customWidth="1"/>
    <col min="2312" max="2312" width="16.84765625" style="59" customWidth="1"/>
    <col min="2313" max="2313" width="11.5703125" style="59" customWidth="1"/>
    <col min="2314" max="2314" width="9.27734375" style="59" customWidth="1"/>
    <col min="2315" max="2315" width="9.140625" style="59" customWidth="1"/>
    <col min="2316" max="2316" width="34.5703125" style="59" customWidth="1"/>
    <col min="2317" max="2323" width="9.140625" style="59" customWidth="1"/>
    <col min="2324" max="2324" width="35.7109375" style="59" customWidth="1"/>
    <col min="2325" max="2325" width="9.140625" style="59" customWidth="1"/>
    <col min="2326" max="2326" width="11" style="59" customWidth="1"/>
    <col min="2327" max="2560" width="9.140625" style="59" customWidth="1"/>
    <col min="2561" max="2561" width="54.84765625" style="59" customWidth="1"/>
    <col min="2562" max="2562" width="12" style="59" customWidth="1"/>
    <col min="2563" max="2563" width="10.5703125" style="59" customWidth="1"/>
    <col min="2564" max="2564" width="78" style="59" customWidth="1"/>
    <col min="2565" max="2565" width="46.27734375" style="59" customWidth="1"/>
    <col min="2566" max="2566" width="20" style="59" customWidth="1"/>
    <col min="2567" max="2567" width="12" style="59" customWidth="1"/>
    <col min="2568" max="2568" width="16.84765625" style="59" customWidth="1"/>
    <col min="2569" max="2569" width="11.5703125" style="59" customWidth="1"/>
    <col min="2570" max="2570" width="9.27734375" style="59" customWidth="1"/>
    <col min="2571" max="2571" width="9.140625" style="59" customWidth="1"/>
    <col min="2572" max="2572" width="34.5703125" style="59" customWidth="1"/>
    <col min="2573" max="2579" width="9.140625" style="59" customWidth="1"/>
    <col min="2580" max="2580" width="35.7109375" style="59" customWidth="1"/>
    <col min="2581" max="2581" width="9.140625" style="59" customWidth="1"/>
    <col min="2582" max="2582" width="11" style="59" customWidth="1"/>
    <col min="2583" max="2816" width="9.140625" style="59" customWidth="1"/>
    <col min="2817" max="2817" width="54.84765625" style="59" customWidth="1"/>
    <col min="2818" max="2818" width="12" style="59" customWidth="1"/>
    <col min="2819" max="2819" width="10.5703125" style="59" customWidth="1"/>
    <col min="2820" max="2820" width="78" style="59" customWidth="1"/>
    <col min="2821" max="2821" width="46.27734375" style="59" customWidth="1"/>
    <col min="2822" max="2822" width="20" style="59" customWidth="1"/>
    <col min="2823" max="2823" width="12" style="59" customWidth="1"/>
    <col min="2824" max="2824" width="16.84765625" style="59" customWidth="1"/>
    <col min="2825" max="2825" width="11.5703125" style="59" customWidth="1"/>
    <col min="2826" max="2826" width="9.27734375" style="59" customWidth="1"/>
    <col min="2827" max="2827" width="9.140625" style="59" customWidth="1"/>
    <col min="2828" max="2828" width="34.5703125" style="59" customWidth="1"/>
    <col min="2829" max="2835" width="9.140625" style="59" customWidth="1"/>
    <col min="2836" max="2836" width="35.7109375" style="59" customWidth="1"/>
    <col min="2837" max="2837" width="9.140625" style="59" customWidth="1"/>
    <col min="2838" max="2838" width="11" style="59" customWidth="1"/>
    <col min="2839" max="3072" width="9.140625" style="59" customWidth="1"/>
    <col min="3073" max="3073" width="54.84765625" style="59" customWidth="1"/>
    <col min="3074" max="3074" width="12" style="59" customWidth="1"/>
    <col min="3075" max="3075" width="10.5703125" style="59" customWidth="1"/>
    <col min="3076" max="3076" width="78" style="59" customWidth="1"/>
    <col min="3077" max="3077" width="46.27734375" style="59" customWidth="1"/>
    <col min="3078" max="3078" width="20" style="59" customWidth="1"/>
    <col min="3079" max="3079" width="12" style="59" customWidth="1"/>
    <col min="3080" max="3080" width="16.84765625" style="59" customWidth="1"/>
    <col min="3081" max="3081" width="11.5703125" style="59" customWidth="1"/>
    <col min="3082" max="3082" width="9.27734375" style="59" customWidth="1"/>
    <col min="3083" max="3083" width="9.140625" style="59" customWidth="1"/>
    <col min="3084" max="3084" width="34.5703125" style="59" customWidth="1"/>
    <col min="3085" max="3091" width="9.140625" style="59" customWidth="1"/>
    <col min="3092" max="3092" width="35.7109375" style="59" customWidth="1"/>
    <col min="3093" max="3093" width="9.140625" style="59" customWidth="1"/>
    <col min="3094" max="3094" width="11" style="59" customWidth="1"/>
    <col min="3095" max="3328" width="9.140625" style="59" customWidth="1"/>
    <col min="3329" max="3329" width="54.84765625" style="59" customWidth="1"/>
    <col min="3330" max="3330" width="12" style="59" customWidth="1"/>
    <col min="3331" max="3331" width="10.5703125" style="59" customWidth="1"/>
    <col min="3332" max="3332" width="78" style="59" customWidth="1"/>
    <col min="3333" max="3333" width="46.27734375" style="59" customWidth="1"/>
    <col min="3334" max="3334" width="20" style="59" customWidth="1"/>
    <col min="3335" max="3335" width="12" style="59" customWidth="1"/>
    <col min="3336" max="3336" width="16.84765625" style="59" customWidth="1"/>
    <col min="3337" max="3337" width="11.5703125" style="59" customWidth="1"/>
    <col min="3338" max="3338" width="9.27734375" style="59" customWidth="1"/>
    <col min="3339" max="3339" width="9.140625" style="59" customWidth="1"/>
    <col min="3340" max="3340" width="34.5703125" style="59" customWidth="1"/>
    <col min="3341" max="3347" width="9.140625" style="59" customWidth="1"/>
    <col min="3348" max="3348" width="35.7109375" style="59" customWidth="1"/>
    <col min="3349" max="3349" width="9.140625" style="59" customWidth="1"/>
    <col min="3350" max="3350" width="11" style="59" customWidth="1"/>
    <col min="3351" max="3584" width="9.140625" style="59" customWidth="1"/>
    <col min="3585" max="3585" width="54.84765625" style="59" customWidth="1"/>
    <col min="3586" max="3586" width="12" style="59" customWidth="1"/>
    <col min="3587" max="3587" width="10.5703125" style="59" customWidth="1"/>
    <col min="3588" max="3588" width="78" style="59" customWidth="1"/>
    <col min="3589" max="3589" width="46.27734375" style="59" customWidth="1"/>
    <col min="3590" max="3590" width="20" style="59" customWidth="1"/>
    <col min="3591" max="3591" width="12" style="59" customWidth="1"/>
    <col min="3592" max="3592" width="16.84765625" style="59" customWidth="1"/>
    <col min="3593" max="3593" width="11.5703125" style="59" customWidth="1"/>
    <col min="3594" max="3594" width="9.27734375" style="59" customWidth="1"/>
    <col min="3595" max="3595" width="9.140625" style="59" customWidth="1"/>
    <col min="3596" max="3596" width="34.5703125" style="59" customWidth="1"/>
    <col min="3597" max="3603" width="9.140625" style="59" customWidth="1"/>
    <col min="3604" max="3604" width="35.7109375" style="59" customWidth="1"/>
    <col min="3605" max="3605" width="9.140625" style="59" customWidth="1"/>
    <col min="3606" max="3606" width="11" style="59" customWidth="1"/>
    <col min="3607" max="3840" width="9.140625" style="59" customWidth="1"/>
    <col min="3841" max="3841" width="54.84765625" style="59" customWidth="1"/>
    <col min="3842" max="3842" width="12" style="59" customWidth="1"/>
    <col min="3843" max="3843" width="10.5703125" style="59" customWidth="1"/>
    <col min="3844" max="3844" width="78" style="59" customWidth="1"/>
    <col min="3845" max="3845" width="46.27734375" style="59" customWidth="1"/>
    <col min="3846" max="3846" width="20" style="59" customWidth="1"/>
    <col min="3847" max="3847" width="12" style="59" customWidth="1"/>
    <col min="3848" max="3848" width="16.84765625" style="59" customWidth="1"/>
    <col min="3849" max="3849" width="11.5703125" style="59" customWidth="1"/>
    <col min="3850" max="3850" width="9.27734375" style="59" customWidth="1"/>
    <col min="3851" max="3851" width="9.140625" style="59" customWidth="1"/>
    <col min="3852" max="3852" width="34.5703125" style="59" customWidth="1"/>
    <col min="3853" max="3859" width="9.140625" style="59" customWidth="1"/>
    <col min="3860" max="3860" width="35.7109375" style="59" customWidth="1"/>
    <col min="3861" max="3861" width="9.140625" style="59" customWidth="1"/>
    <col min="3862" max="3862" width="11" style="59" customWidth="1"/>
    <col min="3863" max="4096" width="9.140625" style="59" customWidth="1"/>
    <col min="4097" max="4097" width="54.84765625" style="59" customWidth="1"/>
    <col min="4098" max="4098" width="12" style="59" customWidth="1"/>
    <col min="4099" max="4099" width="10.5703125" style="59" customWidth="1"/>
    <col min="4100" max="4100" width="78" style="59" customWidth="1"/>
    <col min="4101" max="4101" width="46.27734375" style="59" customWidth="1"/>
    <col min="4102" max="4102" width="20" style="59" customWidth="1"/>
    <col min="4103" max="4103" width="12" style="59" customWidth="1"/>
    <col min="4104" max="4104" width="16.84765625" style="59" customWidth="1"/>
    <col min="4105" max="4105" width="11.5703125" style="59" customWidth="1"/>
    <col min="4106" max="4106" width="9.27734375" style="59" customWidth="1"/>
    <col min="4107" max="4107" width="9.140625" style="59" customWidth="1"/>
    <col min="4108" max="4108" width="34.5703125" style="59" customWidth="1"/>
    <col min="4109" max="4115" width="9.140625" style="59" customWidth="1"/>
    <col min="4116" max="4116" width="35.7109375" style="59" customWidth="1"/>
    <col min="4117" max="4117" width="9.140625" style="59" customWidth="1"/>
    <col min="4118" max="4118" width="11" style="59" customWidth="1"/>
    <col min="4119" max="4352" width="9.140625" style="59" customWidth="1"/>
    <col min="4353" max="4353" width="54.84765625" style="59" customWidth="1"/>
    <col min="4354" max="4354" width="12" style="59" customWidth="1"/>
    <col min="4355" max="4355" width="10.5703125" style="59" customWidth="1"/>
    <col min="4356" max="4356" width="78" style="59" customWidth="1"/>
    <col min="4357" max="4357" width="46.27734375" style="59" customWidth="1"/>
    <col min="4358" max="4358" width="20" style="59" customWidth="1"/>
    <col min="4359" max="4359" width="12" style="59" customWidth="1"/>
    <col min="4360" max="4360" width="16.84765625" style="59" customWidth="1"/>
    <col min="4361" max="4361" width="11.5703125" style="59" customWidth="1"/>
    <col min="4362" max="4362" width="9.27734375" style="59" customWidth="1"/>
    <col min="4363" max="4363" width="9.140625" style="59" customWidth="1"/>
    <col min="4364" max="4364" width="34.5703125" style="59" customWidth="1"/>
    <col min="4365" max="4371" width="9.140625" style="59" customWidth="1"/>
    <col min="4372" max="4372" width="35.7109375" style="59" customWidth="1"/>
    <col min="4373" max="4373" width="9.140625" style="59" customWidth="1"/>
    <col min="4374" max="4374" width="11" style="59" customWidth="1"/>
    <col min="4375" max="4608" width="9.140625" style="59" customWidth="1"/>
    <col min="4609" max="4609" width="54.84765625" style="59" customWidth="1"/>
    <col min="4610" max="4610" width="12" style="59" customWidth="1"/>
    <col min="4611" max="4611" width="10.5703125" style="59" customWidth="1"/>
    <col min="4612" max="4612" width="78" style="59" customWidth="1"/>
    <col min="4613" max="4613" width="46.27734375" style="59" customWidth="1"/>
    <col min="4614" max="4614" width="20" style="59" customWidth="1"/>
    <col min="4615" max="4615" width="12" style="59" customWidth="1"/>
    <col min="4616" max="4616" width="16.84765625" style="59" customWidth="1"/>
    <col min="4617" max="4617" width="11.5703125" style="59" customWidth="1"/>
    <col min="4618" max="4618" width="9.27734375" style="59" customWidth="1"/>
    <col min="4619" max="4619" width="9.140625" style="59" customWidth="1"/>
    <col min="4620" max="4620" width="34.5703125" style="59" customWidth="1"/>
    <col min="4621" max="4627" width="9.140625" style="59" customWidth="1"/>
    <col min="4628" max="4628" width="35.7109375" style="59" customWidth="1"/>
    <col min="4629" max="4629" width="9.140625" style="59" customWidth="1"/>
    <col min="4630" max="4630" width="11" style="59" customWidth="1"/>
    <col min="4631" max="4864" width="9.140625" style="59" customWidth="1"/>
    <col min="4865" max="4865" width="54.84765625" style="59" customWidth="1"/>
    <col min="4866" max="4866" width="12" style="59" customWidth="1"/>
    <col min="4867" max="4867" width="10.5703125" style="59" customWidth="1"/>
    <col min="4868" max="4868" width="78" style="59" customWidth="1"/>
    <col min="4869" max="4869" width="46.27734375" style="59" customWidth="1"/>
    <col min="4870" max="4870" width="20" style="59" customWidth="1"/>
    <col min="4871" max="4871" width="12" style="59" customWidth="1"/>
    <col min="4872" max="4872" width="16.84765625" style="59" customWidth="1"/>
    <col min="4873" max="4873" width="11.5703125" style="59" customWidth="1"/>
    <col min="4874" max="4874" width="9.27734375" style="59" customWidth="1"/>
    <col min="4875" max="4875" width="9.140625" style="59" customWidth="1"/>
    <col min="4876" max="4876" width="34.5703125" style="59" customWidth="1"/>
    <col min="4877" max="4883" width="9.140625" style="59" customWidth="1"/>
    <col min="4884" max="4884" width="35.7109375" style="59" customWidth="1"/>
    <col min="4885" max="4885" width="9.140625" style="59" customWidth="1"/>
    <col min="4886" max="4886" width="11" style="59" customWidth="1"/>
    <col min="4887" max="5120" width="9.140625" style="59" customWidth="1"/>
    <col min="5121" max="5121" width="54.84765625" style="59" customWidth="1"/>
    <col min="5122" max="5122" width="12" style="59" customWidth="1"/>
    <col min="5123" max="5123" width="10.5703125" style="59" customWidth="1"/>
    <col min="5124" max="5124" width="78" style="59" customWidth="1"/>
    <col min="5125" max="5125" width="46.27734375" style="59" customWidth="1"/>
    <col min="5126" max="5126" width="20" style="59" customWidth="1"/>
    <col min="5127" max="5127" width="12" style="59" customWidth="1"/>
    <col min="5128" max="5128" width="16.84765625" style="59" customWidth="1"/>
    <col min="5129" max="5129" width="11.5703125" style="59" customWidth="1"/>
    <col min="5130" max="5130" width="9.27734375" style="59" customWidth="1"/>
    <col min="5131" max="5131" width="9.140625" style="59" customWidth="1"/>
    <col min="5132" max="5132" width="34.5703125" style="59" customWidth="1"/>
    <col min="5133" max="5139" width="9.140625" style="59" customWidth="1"/>
    <col min="5140" max="5140" width="35.7109375" style="59" customWidth="1"/>
    <col min="5141" max="5141" width="9.140625" style="59" customWidth="1"/>
    <col min="5142" max="5142" width="11" style="59" customWidth="1"/>
    <col min="5143" max="5376" width="9.140625" style="59" customWidth="1"/>
    <col min="5377" max="5377" width="54.84765625" style="59" customWidth="1"/>
    <col min="5378" max="5378" width="12" style="59" customWidth="1"/>
    <col min="5379" max="5379" width="10.5703125" style="59" customWidth="1"/>
    <col min="5380" max="5380" width="78" style="59" customWidth="1"/>
    <col min="5381" max="5381" width="46.27734375" style="59" customWidth="1"/>
    <col min="5382" max="5382" width="20" style="59" customWidth="1"/>
    <col min="5383" max="5383" width="12" style="59" customWidth="1"/>
    <col min="5384" max="5384" width="16.84765625" style="59" customWidth="1"/>
    <col min="5385" max="5385" width="11.5703125" style="59" customWidth="1"/>
    <col min="5386" max="5386" width="9.27734375" style="59" customWidth="1"/>
    <col min="5387" max="5387" width="9.140625" style="59" customWidth="1"/>
    <col min="5388" max="5388" width="34.5703125" style="59" customWidth="1"/>
    <col min="5389" max="5395" width="9.140625" style="59" customWidth="1"/>
    <col min="5396" max="5396" width="35.7109375" style="59" customWidth="1"/>
    <col min="5397" max="5397" width="9.140625" style="59" customWidth="1"/>
    <col min="5398" max="5398" width="11" style="59" customWidth="1"/>
    <col min="5399" max="5632" width="9.140625" style="59" customWidth="1"/>
    <col min="5633" max="5633" width="54.84765625" style="59" customWidth="1"/>
    <col min="5634" max="5634" width="12" style="59" customWidth="1"/>
    <col min="5635" max="5635" width="10.5703125" style="59" customWidth="1"/>
    <col min="5636" max="5636" width="78" style="59" customWidth="1"/>
    <col min="5637" max="5637" width="46.27734375" style="59" customWidth="1"/>
    <col min="5638" max="5638" width="20" style="59" customWidth="1"/>
    <col min="5639" max="5639" width="12" style="59" customWidth="1"/>
    <col min="5640" max="5640" width="16.84765625" style="59" customWidth="1"/>
    <col min="5641" max="5641" width="11.5703125" style="59" customWidth="1"/>
    <col min="5642" max="5642" width="9.27734375" style="59" customWidth="1"/>
    <col min="5643" max="5643" width="9.140625" style="59" customWidth="1"/>
    <col min="5644" max="5644" width="34.5703125" style="59" customWidth="1"/>
    <col min="5645" max="5651" width="9.140625" style="59" customWidth="1"/>
    <col min="5652" max="5652" width="35.7109375" style="59" customWidth="1"/>
    <col min="5653" max="5653" width="9.140625" style="59" customWidth="1"/>
    <col min="5654" max="5654" width="11" style="59" customWidth="1"/>
    <col min="5655" max="5888" width="9.140625" style="59" customWidth="1"/>
    <col min="5889" max="5889" width="54.84765625" style="59" customWidth="1"/>
    <col min="5890" max="5890" width="12" style="59" customWidth="1"/>
    <col min="5891" max="5891" width="10.5703125" style="59" customWidth="1"/>
    <col min="5892" max="5892" width="78" style="59" customWidth="1"/>
    <col min="5893" max="5893" width="46.27734375" style="59" customWidth="1"/>
    <col min="5894" max="5894" width="20" style="59" customWidth="1"/>
    <col min="5895" max="5895" width="12" style="59" customWidth="1"/>
    <col min="5896" max="5896" width="16.84765625" style="59" customWidth="1"/>
    <col min="5897" max="5897" width="11.5703125" style="59" customWidth="1"/>
    <col min="5898" max="5898" width="9.27734375" style="59" customWidth="1"/>
    <col min="5899" max="5899" width="9.140625" style="59" customWidth="1"/>
    <col min="5900" max="5900" width="34.5703125" style="59" customWidth="1"/>
    <col min="5901" max="5907" width="9.140625" style="59" customWidth="1"/>
    <col min="5908" max="5908" width="35.7109375" style="59" customWidth="1"/>
    <col min="5909" max="5909" width="9.140625" style="59" customWidth="1"/>
    <col min="5910" max="5910" width="11" style="59" customWidth="1"/>
    <col min="5911" max="6144" width="9.140625" style="59" customWidth="1"/>
    <col min="6145" max="6145" width="54.84765625" style="59" customWidth="1"/>
    <col min="6146" max="6146" width="12" style="59" customWidth="1"/>
    <col min="6147" max="6147" width="10.5703125" style="59" customWidth="1"/>
    <col min="6148" max="6148" width="78" style="59" customWidth="1"/>
    <col min="6149" max="6149" width="46.27734375" style="59" customWidth="1"/>
    <col min="6150" max="6150" width="20" style="59" customWidth="1"/>
    <col min="6151" max="6151" width="12" style="59" customWidth="1"/>
    <col min="6152" max="6152" width="16.84765625" style="59" customWidth="1"/>
    <col min="6153" max="6153" width="11.5703125" style="59" customWidth="1"/>
    <col min="6154" max="6154" width="9.27734375" style="59" customWidth="1"/>
    <col min="6155" max="6155" width="9.140625" style="59" customWidth="1"/>
    <col min="6156" max="6156" width="34.5703125" style="59" customWidth="1"/>
    <col min="6157" max="6163" width="9.140625" style="59" customWidth="1"/>
    <col min="6164" max="6164" width="35.7109375" style="59" customWidth="1"/>
    <col min="6165" max="6165" width="9.140625" style="59" customWidth="1"/>
    <col min="6166" max="6166" width="11" style="59" customWidth="1"/>
    <col min="6167" max="6400" width="9.140625" style="59" customWidth="1"/>
    <col min="6401" max="6401" width="54.84765625" style="59" customWidth="1"/>
    <col min="6402" max="6402" width="12" style="59" customWidth="1"/>
    <col min="6403" max="6403" width="10.5703125" style="59" customWidth="1"/>
    <col min="6404" max="6404" width="78" style="59" customWidth="1"/>
    <col min="6405" max="6405" width="46.27734375" style="59" customWidth="1"/>
    <col min="6406" max="6406" width="20" style="59" customWidth="1"/>
    <col min="6407" max="6407" width="12" style="59" customWidth="1"/>
    <col min="6408" max="6408" width="16.84765625" style="59" customWidth="1"/>
    <col min="6409" max="6409" width="11.5703125" style="59" customWidth="1"/>
    <col min="6410" max="6410" width="9.27734375" style="59" customWidth="1"/>
    <col min="6411" max="6411" width="9.140625" style="59" customWidth="1"/>
    <col min="6412" max="6412" width="34.5703125" style="59" customWidth="1"/>
    <col min="6413" max="6419" width="9.140625" style="59" customWidth="1"/>
    <col min="6420" max="6420" width="35.7109375" style="59" customWidth="1"/>
    <col min="6421" max="6421" width="9.140625" style="59" customWidth="1"/>
    <col min="6422" max="6422" width="11" style="59" customWidth="1"/>
    <col min="6423" max="6656" width="9.140625" style="59" customWidth="1"/>
    <col min="6657" max="6657" width="54.84765625" style="59" customWidth="1"/>
    <col min="6658" max="6658" width="12" style="59" customWidth="1"/>
    <col min="6659" max="6659" width="10.5703125" style="59" customWidth="1"/>
    <col min="6660" max="6660" width="78" style="59" customWidth="1"/>
    <col min="6661" max="6661" width="46.27734375" style="59" customWidth="1"/>
    <col min="6662" max="6662" width="20" style="59" customWidth="1"/>
    <col min="6663" max="6663" width="12" style="59" customWidth="1"/>
    <col min="6664" max="6664" width="16.84765625" style="59" customWidth="1"/>
    <col min="6665" max="6665" width="11.5703125" style="59" customWidth="1"/>
    <col min="6666" max="6666" width="9.27734375" style="59" customWidth="1"/>
    <col min="6667" max="6667" width="9.140625" style="59" customWidth="1"/>
    <col min="6668" max="6668" width="34.5703125" style="59" customWidth="1"/>
    <col min="6669" max="6675" width="9.140625" style="59" customWidth="1"/>
    <col min="6676" max="6676" width="35.7109375" style="59" customWidth="1"/>
    <col min="6677" max="6677" width="9.140625" style="59" customWidth="1"/>
    <col min="6678" max="6678" width="11" style="59" customWidth="1"/>
    <col min="6679" max="6912" width="9.140625" style="59" customWidth="1"/>
    <col min="6913" max="6913" width="54.84765625" style="59" customWidth="1"/>
    <col min="6914" max="6914" width="12" style="59" customWidth="1"/>
    <col min="6915" max="6915" width="10.5703125" style="59" customWidth="1"/>
    <col min="6916" max="6916" width="78" style="59" customWidth="1"/>
    <col min="6917" max="6917" width="46.27734375" style="59" customWidth="1"/>
    <col min="6918" max="6918" width="20" style="59" customWidth="1"/>
    <col min="6919" max="6919" width="12" style="59" customWidth="1"/>
    <col min="6920" max="6920" width="16.84765625" style="59" customWidth="1"/>
    <col min="6921" max="6921" width="11.5703125" style="59" customWidth="1"/>
    <col min="6922" max="6922" width="9.27734375" style="59" customWidth="1"/>
    <col min="6923" max="6923" width="9.140625" style="59" customWidth="1"/>
    <col min="6924" max="6924" width="34.5703125" style="59" customWidth="1"/>
    <col min="6925" max="6931" width="9.140625" style="59" customWidth="1"/>
    <col min="6932" max="6932" width="35.7109375" style="59" customWidth="1"/>
    <col min="6933" max="6933" width="9.140625" style="59" customWidth="1"/>
    <col min="6934" max="6934" width="11" style="59" customWidth="1"/>
    <col min="6935" max="7168" width="9.140625" style="59" customWidth="1"/>
    <col min="7169" max="7169" width="54.84765625" style="59" customWidth="1"/>
    <col min="7170" max="7170" width="12" style="59" customWidth="1"/>
    <col min="7171" max="7171" width="10.5703125" style="59" customWidth="1"/>
    <col min="7172" max="7172" width="78" style="59" customWidth="1"/>
    <col min="7173" max="7173" width="46.27734375" style="59" customWidth="1"/>
    <col min="7174" max="7174" width="20" style="59" customWidth="1"/>
    <col min="7175" max="7175" width="12" style="59" customWidth="1"/>
    <col min="7176" max="7176" width="16.84765625" style="59" customWidth="1"/>
    <col min="7177" max="7177" width="11.5703125" style="59" customWidth="1"/>
    <col min="7178" max="7178" width="9.27734375" style="59" customWidth="1"/>
    <col min="7179" max="7179" width="9.140625" style="59" customWidth="1"/>
    <col min="7180" max="7180" width="34.5703125" style="59" customWidth="1"/>
    <col min="7181" max="7187" width="9.140625" style="59" customWidth="1"/>
    <col min="7188" max="7188" width="35.7109375" style="59" customWidth="1"/>
    <col min="7189" max="7189" width="9.140625" style="59" customWidth="1"/>
    <col min="7190" max="7190" width="11" style="59" customWidth="1"/>
    <col min="7191" max="7424" width="9.140625" style="59" customWidth="1"/>
    <col min="7425" max="7425" width="54.84765625" style="59" customWidth="1"/>
    <col min="7426" max="7426" width="12" style="59" customWidth="1"/>
    <col min="7427" max="7427" width="10.5703125" style="59" customWidth="1"/>
    <col min="7428" max="7428" width="78" style="59" customWidth="1"/>
    <col min="7429" max="7429" width="46.27734375" style="59" customWidth="1"/>
    <col min="7430" max="7430" width="20" style="59" customWidth="1"/>
    <col min="7431" max="7431" width="12" style="59" customWidth="1"/>
    <col min="7432" max="7432" width="16.84765625" style="59" customWidth="1"/>
    <col min="7433" max="7433" width="11.5703125" style="59" customWidth="1"/>
    <col min="7434" max="7434" width="9.27734375" style="59" customWidth="1"/>
    <col min="7435" max="7435" width="9.140625" style="59" customWidth="1"/>
    <col min="7436" max="7436" width="34.5703125" style="59" customWidth="1"/>
    <col min="7437" max="7443" width="9.140625" style="59" customWidth="1"/>
    <col min="7444" max="7444" width="35.7109375" style="59" customWidth="1"/>
    <col min="7445" max="7445" width="9.140625" style="59" customWidth="1"/>
    <col min="7446" max="7446" width="11" style="59" customWidth="1"/>
    <col min="7447" max="7680" width="9.140625" style="59" customWidth="1"/>
    <col min="7681" max="7681" width="54.84765625" style="59" customWidth="1"/>
    <col min="7682" max="7682" width="12" style="59" customWidth="1"/>
    <col min="7683" max="7683" width="10.5703125" style="59" customWidth="1"/>
    <col min="7684" max="7684" width="78" style="59" customWidth="1"/>
    <col min="7685" max="7685" width="46.27734375" style="59" customWidth="1"/>
    <col min="7686" max="7686" width="20" style="59" customWidth="1"/>
    <col min="7687" max="7687" width="12" style="59" customWidth="1"/>
    <col min="7688" max="7688" width="16.84765625" style="59" customWidth="1"/>
    <col min="7689" max="7689" width="11.5703125" style="59" customWidth="1"/>
    <col min="7690" max="7690" width="9.27734375" style="59" customWidth="1"/>
    <col min="7691" max="7691" width="9.140625" style="59" customWidth="1"/>
    <col min="7692" max="7692" width="34.5703125" style="59" customWidth="1"/>
    <col min="7693" max="7699" width="9.140625" style="59" customWidth="1"/>
    <col min="7700" max="7700" width="35.7109375" style="59" customWidth="1"/>
    <col min="7701" max="7701" width="9.140625" style="59" customWidth="1"/>
    <col min="7702" max="7702" width="11" style="59" customWidth="1"/>
    <col min="7703" max="7936" width="9.140625" style="59" customWidth="1"/>
    <col min="7937" max="7937" width="54.84765625" style="59" customWidth="1"/>
    <col min="7938" max="7938" width="12" style="59" customWidth="1"/>
    <col min="7939" max="7939" width="10.5703125" style="59" customWidth="1"/>
    <col min="7940" max="7940" width="78" style="59" customWidth="1"/>
    <col min="7941" max="7941" width="46.27734375" style="59" customWidth="1"/>
    <col min="7942" max="7942" width="20" style="59" customWidth="1"/>
    <col min="7943" max="7943" width="12" style="59" customWidth="1"/>
    <col min="7944" max="7944" width="16.84765625" style="59" customWidth="1"/>
    <col min="7945" max="7945" width="11.5703125" style="59" customWidth="1"/>
    <col min="7946" max="7946" width="9.27734375" style="59" customWidth="1"/>
    <col min="7947" max="7947" width="9.140625" style="59" customWidth="1"/>
    <col min="7948" max="7948" width="34.5703125" style="59" customWidth="1"/>
    <col min="7949" max="7955" width="9.140625" style="59" customWidth="1"/>
    <col min="7956" max="7956" width="35.7109375" style="59" customWidth="1"/>
    <col min="7957" max="7957" width="9.140625" style="59" customWidth="1"/>
    <col min="7958" max="7958" width="11" style="59" customWidth="1"/>
    <col min="7959" max="8192" width="9.140625" style="59" customWidth="1"/>
    <col min="8193" max="8193" width="54.84765625" style="59" customWidth="1"/>
    <col min="8194" max="8194" width="12" style="59" customWidth="1"/>
    <col min="8195" max="8195" width="10.5703125" style="59" customWidth="1"/>
    <col min="8196" max="8196" width="78" style="59" customWidth="1"/>
    <col min="8197" max="8197" width="46.27734375" style="59" customWidth="1"/>
    <col min="8198" max="8198" width="20" style="59" customWidth="1"/>
    <col min="8199" max="8199" width="12" style="59" customWidth="1"/>
    <col min="8200" max="8200" width="16.84765625" style="59" customWidth="1"/>
    <col min="8201" max="8201" width="11.5703125" style="59" customWidth="1"/>
    <col min="8202" max="8202" width="9.27734375" style="59" customWidth="1"/>
    <col min="8203" max="8203" width="9.140625" style="59" customWidth="1"/>
    <col min="8204" max="8204" width="34.5703125" style="59" customWidth="1"/>
    <col min="8205" max="8211" width="9.140625" style="59" customWidth="1"/>
    <col min="8212" max="8212" width="35.7109375" style="59" customWidth="1"/>
    <col min="8213" max="8213" width="9.140625" style="59" customWidth="1"/>
    <col min="8214" max="8214" width="11" style="59" customWidth="1"/>
    <col min="8215" max="8448" width="9.140625" style="59" customWidth="1"/>
    <col min="8449" max="8449" width="54.84765625" style="59" customWidth="1"/>
    <col min="8450" max="8450" width="12" style="59" customWidth="1"/>
    <col min="8451" max="8451" width="10.5703125" style="59" customWidth="1"/>
    <col min="8452" max="8452" width="78" style="59" customWidth="1"/>
    <col min="8453" max="8453" width="46.27734375" style="59" customWidth="1"/>
    <col min="8454" max="8454" width="20" style="59" customWidth="1"/>
    <col min="8455" max="8455" width="12" style="59" customWidth="1"/>
    <col min="8456" max="8456" width="16.84765625" style="59" customWidth="1"/>
    <col min="8457" max="8457" width="11.5703125" style="59" customWidth="1"/>
    <col min="8458" max="8458" width="9.27734375" style="59" customWidth="1"/>
    <col min="8459" max="8459" width="9.140625" style="59" customWidth="1"/>
    <col min="8460" max="8460" width="34.5703125" style="59" customWidth="1"/>
    <col min="8461" max="8467" width="9.140625" style="59" customWidth="1"/>
    <col min="8468" max="8468" width="35.7109375" style="59" customWidth="1"/>
    <col min="8469" max="8469" width="9.140625" style="59" customWidth="1"/>
    <col min="8470" max="8470" width="11" style="59" customWidth="1"/>
    <col min="8471" max="8704" width="9.140625" style="59" customWidth="1"/>
    <col min="8705" max="8705" width="54.84765625" style="59" customWidth="1"/>
    <col min="8706" max="8706" width="12" style="59" customWidth="1"/>
    <col min="8707" max="8707" width="10.5703125" style="59" customWidth="1"/>
    <col min="8708" max="8708" width="78" style="59" customWidth="1"/>
    <col min="8709" max="8709" width="46.27734375" style="59" customWidth="1"/>
    <col min="8710" max="8710" width="20" style="59" customWidth="1"/>
    <col min="8711" max="8711" width="12" style="59" customWidth="1"/>
    <col min="8712" max="8712" width="16.84765625" style="59" customWidth="1"/>
    <col min="8713" max="8713" width="11.5703125" style="59" customWidth="1"/>
    <col min="8714" max="8714" width="9.27734375" style="59" customWidth="1"/>
    <col min="8715" max="8715" width="9.140625" style="59" customWidth="1"/>
    <col min="8716" max="8716" width="34.5703125" style="59" customWidth="1"/>
    <col min="8717" max="8723" width="9.140625" style="59" customWidth="1"/>
    <col min="8724" max="8724" width="35.7109375" style="59" customWidth="1"/>
    <col min="8725" max="8725" width="9.140625" style="59" customWidth="1"/>
    <col min="8726" max="8726" width="11" style="59" customWidth="1"/>
    <col min="8727" max="8960" width="9.140625" style="59" customWidth="1"/>
    <col min="8961" max="8961" width="54.84765625" style="59" customWidth="1"/>
    <col min="8962" max="8962" width="12" style="59" customWidth="1"/>
    <col min="8963" max="8963" width="10.5703125" style="59" customWidth="1"/>
    <col min="8964" max="8964" width="78" style="59" customWidth="1"/>
    <col min="8965" max="8965" width="46.27734375" style="59" customWidth="1"/>
    <col min="8966" max="8966" width="20" style="59" customWidth="1"/>
    <col min="8967" max="8967" width="12" style="59" customWidth="1"/>
    <col min="8968" max="8968" width="16.84765625" style="59" customWidth="1"/>
    <col min="8969" max="8969" width="11.5703125" style="59" customWidth="1"/>
    <col min="8970" max="8970" width="9.27734375" style="59" customWidth="1"/>
    <col min="8971" max="8971" width="9.140625" style="59" customWidth="1"/>
    <col min="8972" max="8972" width="34.5703125" style="59" customWidth="1"/>
    <col min="8973" max="8979" width="9.140625" style="59" customWidth="1"/>
    <col min="8980" max="8980" width="35.7109375" style="59" customWidth="1"/>
    <col min="8981" max="8981" width="9.140625" style="59" customWidth="1"/>
    <col min="8982" max="8982" width="11" style="59" customWidth="1"/>
    <col min="8983" max="9216" width="9.140625" style="59" customWidth="1"/>
    <col min="9217" max="9217" width="54.84765625" style="59" customWidth="1"/>
    <col min="9218" max="9218" width="12" style="59" customWidth="1"/>
    <col min="9219" max="9219" width="10.5703125" style="59" customWidth="1"/>
    <col min="9220" max="9220" width="78" style="59" customWidth="1"/>
    <col min="9221" max="9221" width="46.27734375" style="59" customWidth="1"/>
    <col min="9222" max="9222" width="20" style="59" customWidth="1"/>
    <col min="9223" max="9223" width="12" style="59" customWidth="1"/>
    <col min="9224" max="9224" width="16.84765625" style="59" customWidth="1"/>
    <col min="9225" max="9225" width="11.5703125" style="59" customWidth="1"/>
    <col min="9226" max="9226" width="9.27734375" style="59" customWidth="1"/>
    <col min="9227" max="9227" width="9.140625" style="59" customWidth="1"/>
    <col min="9228" max="9228" width="34.5703125" style="59" customWidth="1"/>
    <col min="9229" max="9235" width="9.140625" style="59" customWidth="1"/>
    <col min="9236" max="9236" width="35.7109375" style="59" customWidth="1"/>
    <col min="9237" max="9237" width="9.140625" style="59" customWidth="1"/>
    <col min="9238" max="9238" width="11" style="59" customWidth="1"/>
    <col min="9239" max="9472" width="9.140625" style="59" customWidth="1"/>
    <col min="9473" max="9473" width="54.84765625" style="59" customWidth="1"/>
    <col min="9474" max="9474" width="12" style="59" customWidth="1"/>
    <col min="9475" max="9475" width="10.5703125" style="59" customWidth="1"/>
    <col min="9476" max="9476" width="78" style="59" customWidth="1"/>
    <col min="9477" max="9477" width="46.27734375" style="59" customWidth="1"/>
    <col min="9478" max="9478" width="20" style="59" customWidth="1"/>
    <col min="9479" max="9479" width="12" style="59" customWidth="1"/>
    <col min="9480" max="9480" width="16.84765625" style="59" customWidth="1"/>
    <col min="9481" max="9481" width="11.5703125" style="59" customWidth="1"/>
    <col min="9482" max="9482" width="9.27734375" style="59" customWidth="1"/>
    <col min="9483" max="9483" width="9.140625" style="59" customWidth="1"/>
    <col min="9484" max="9484" width="34.5703125" style="59" customWidth="1"/>
    <col min="9485" max="9491" width="9.140625" style="59" customWidth="1"/>
    <col min="9492" max="9492" width="35.7109375" style="59" customWidth="1"/>
    <col min="9493" max="9493" width="9.140625" style="59" customWidth="1"/>
    <col min="9494" max="9494" width="11" style="59" customWidth="1"/>
    <col min="9495" max="9728" width="9.140625" style="59" customWidth="1"/>
    <col min="9729" max="9729" width="54.84765625" style="59" customWidth="1"/>
    <col min="9730" max="9730" width="12" style="59" customWidth="1"/>
    <col min="9731" max="9731" width="10.5703125" style="59" customWidth="1"/>
    <col min="9732" max="9732" width="78" style="59" customWidth="1"/>
    <col min="9733" max="9733" width="46.27734375" style="59" customWidth="1"/>
    <col min="9734" max="9734" width="20" style="59" customWidth="1"/>
    <col min="9735" max="9735" width="12" style="59" customWidth="1"/>
    <col min="9736" max="9736" width="16.84765625" style="59" customWidth="1"/>
    <col min="9737" max="9737" width="11.5703125" style="59" customWidth="1"/>
    <col min="9738" max="9738" width="9.27734375" style="59" customWidth="1"/>
    <col min="9739" max="9739" width="9.140625" style="59" customWidth="1"/>
    <col min="9740" max="9740" width="34.5703125" style="59" customWidth="1"/>
    <col min="9741" max="9747" width="9.140625" style="59" customWidth="1"/>
    <col min="9748" max="9748" width="35.7109375" style="59" customWidth="1"/>
    <col min="9749" max="9749" width="9.140625" style="59" customWidth="1"/>
    <col min="9750" max="9750" width="11" style="59" customWidth="1"/>
    <col min="9751" max="9984" width="9.140625" style="59" customWidth="1"/>
    <col min="9985" max="9985" width="54.84765625" style="59" customWidth="1"/>
    <col min="9986" max="9986" width="12" style="59" customWidth="1"/>
    <col min="9987" max="9987" width="10.5703125" style="59" customWidth="1"/>
    <col min="9988" max="9988" width="78" style="59" customWidth="1"/>
    <col min="9989" max="9989" width="46.27734375" style="59" customWidth="1"/>
    <col min="9990" max="9990" width="20" style="59" customWidth="1"/>
    <col min="9991" max="9991" width="12" style="59" customWidth="1"/>
    <col min="9992" max="9992" width="16.84765625" style="59" customWidth="1"/>
    <col min="9993" max="9993" width="11.5703125" style="59" customWidth="1"/>
    <col min="9994" max="9994" width="9.27734375" style="59" customWidth="1"/>
    <col min="9995" max="9995" width="9.140625" style="59" customWidth="1"/>
    <col min="9996" max="9996" width="34.5703125" style="59" customWidth="1"/>
    <col min="9997" max="10003" width="9.140625" style="59" customWidth="1"/>
    <col min="10004" max="10004" width="35.7109375" style="59" customWidth="1"/>
    <col min="10005" max="10005" width="9.140625" style="59" customWidth="1"/>
    <col min="10006" max="10006" width="11" style="59" customWidth="1"/>
    <col min="10007" max="10240" width="9.140625" style="59" customWidth="1"/>
    <col min="10241" max="10241" width="54.84765625" style="59" customWidth="1"/>
    <col min="10242" max="10242" width="12" style="59" customWidth="1"/>
    <col min="10243" max="10243" width="10.5703125" style="59" customWidth="1"/>
    <col min="10244" max="10244" width="78" style="59" customWidth="1"/>
    <col min="10245" max="10245" width="46.27734375" style="59" customWidth="1"/>
    <col min="10246" max="10246" width="20" style="59" customWidth="1"/>
    <col min="10247" max="10247" width="12" style="59" customWidth="1"/>
    <col min="10248" max="10248" width="16.84765625" style="59" customWidth="1"/>
    <col min="10249" max="10249" width="11.5703125" style="59" customWidth="1"/>
    <col min="10250" max="10250" width="9.27734375" style="59" customWidth="1"/>
    <col min="10251" max="10251" width="9.140625" style="59" customWidth="1"/>
    <col min="10252" max="10252" width="34.5703125" style="59" customWidth="1"/>
    <col min="10253" max="10259" width="9.140625" style="59" customWidth="1"/>
    <col min="10260" max="10260" width="35.7109375" style="59" customWidth="1"/>
    <col min="10261" max="10261" width="9.140625" style="59" customWidth="1"/>
    <col min="10262" max="10262" width="11" style="59" customWidth="1"/>
    <col min="10263" max="10496" width="9.140625" style="59" customWidth="1"/>
    <col min="10497" max="10497" width="54.84765625" style="59" customWidth="1"/>
    <col min="10498" max="10498" width="12" style="59" customWidth="1"/>
    <col min="10499" max="10499" width="10.5703125" style="59" customWidth="1"/>
    <col min="10500" max="10500" width="78" style="59" customWidth="1"/>
    <col min="10501" max="10501" width="46.27734375" style="59" customWidth="1"/>
    <col min="10502" max="10502" width="20" style="59" customWidth="1"/>
    <col min="10503" max="10503" width="12" style="59" customWidth="1"/>
    <col min="10504" max="10504" width="16.84765625" style="59" customWidth="1"/>
    <col min="10505" max="10505" width="11.5703125" style="59" customWidth="1"/>
    <col min="10506" max="10506" width="9.27734375" style="59" customWidth="1"/>
    <col min="10507" max="10507" width="9.140625" style="59" customWidth="1"/>
    <col min="10508" max="10508" width="34.5703125" style="59" customWidth="1"/>
    <col min="10509" max="10515" width="9.140625" style="59" customWidth="1"/>
    <col min="10516" max="10516" width="35.7109375" style="59" customWidth="1"/>
    <col min="10517" max="10517" width="9.140625" style="59" customWidth="1"/>
    <col min="10518" max="10518" width="11" style="59" customWidth="1"/>
    <col min="10519" max="10752" width="9.140625" style="59" customWidth="1"/>
    <col min="10753" max="10753" width="54.84765625" style="59" customWidth="1"/>
    <col min="10754" max="10754" width="12" style="59" customWidth="1"/>
    <col min="10755" max="10755" width="10.5703125" style="59" customWidth="1"/>
    <col min="10756" max="10756" width="78" style="59" customWidth="1"/>
    <col min="10757" max="10757" width="46.27734375" style="59" customWidth="1"/>
    <col min="10758" max="10758" width="20" style="59" customWidth="1"/>
    <col min="10759" max="10759" width="12" style="59" customWidth="1"/>
    <col min="10760" max="10760" width="16.84765625" style="59" customWidth="1"/>
    <col min="10761" max="10761" width="11.5703125" style="59" customWidth="1"/>
    <col min="10762" max="10762" width="9.27734375" style="59" customWidth="1"/>
    <col min="10763" max="10763" width="9.140625" style="59" customWidth="1"/>
    <col min="10764" max="10764" width="34.5703125" style="59" customWidth="1"/>
    <col min="10765" max="10771" width="9.140625" style="59" customWidth="1"/>
    <col min="10772" max="10772" width="35.7109375" style="59" customWidth="1"/>
    <col min="10773" max="10773" width="9.140625" style="59" customWidth="1"/>
    <col min="10774" max="10774" width="11" style="59" customWidth="1"/>
    <col min="10775" max="11008" width="9.140625" style="59" customWidth="1"/>
    <col min="11009" max="11009" width="54.84765625" style="59" customWidth="1"/>
    <col min="11010" max="11010" width="12" style="59" customWidth="1"/>
    <col min="11011" max="11011" width="10.5703125" style="59" customWidth="1"/>
    <col min="11012" max="11012" width="78" style="59" customWidth="1"/>
    <col min="11013" max="11013" width="46.27734375" style="59" customWidth="1"/>
    <col min="11014" max="11014" width="20" style="59" customWidth="1"/>
    <col min="11015" max="11015" width="12" style="59" customWidth="1"/>
    <col min="11016" max="11016" width="16.84765625" style="59" customWidth="1"/>
    <col min="11017" max="11017" width="11.5703125" style="59" customWidth="1"/>
    <col min="11018" max="11018" width="9.27734375" style="59" customWidth="1"/>
    <col min="11019" max="11019" width="9.140625" style="59" customWidth="1"/>
    <col min="11020" max="11020" width="34.5703125" style="59" customWidth="1"/>
    <col min="11021" max="11027" width="9.140625" style="59" customWidth="1"/>
    <col min="11028" max="11028" width="35.7109375" style="59" customWidth="1"/>
    <col min="11029" max="11029" width="9.140625" style="59" customWidth="1"/>
    <col min="11030" max="11030" width="11" style="59" customWidth="1"/>
    <col min="11031" max="11264" width="9.140625" style="59" customWidth="1"/>
    <col min="11265" max="11265" width="54.84765625" style="59" customWidth="1"/>
    <col min="11266" max="11266" width="12" style="59" customWidth="1"/>
    <col min="11267" max="11267" width="10.5703125" style="59" customWidth="1"/>
    <col min="11268" max="11268" width="78" style="59" customWidth="1"/>
    <col min="11269" max="11269" width="46.27734375" style="59" customWidth="1"/>
    <col min="11270" max="11270" width="20" style="59" customWidth="1"/>
    <col min="11271" max="11271" width="12" style="59" customWidth="1"/>
    <col min="11272" max="11272" width="16.84765625" style="59" customWidth="1"/>
    <col min="11273" max="11273" width="11.5703125" style="59" customWidth="1"/>
    <col min="11274" max="11274" width="9.27734375" style="59" customWidth="1"/>
    <col min="11275" max="11275" width="9.140625" style="59" customWidth="1"/>
    <col min="11276" max="11276" width="34.5703125" style="59" customWidth="1"/>
    <col min="11277" max="11283" width="9.140625" style="59" customWidth="1"/>
    <col min="11284" max="11284" width="35.7109375" style="59" customWidth="1"/>
    <col min="11285" max="11285" width="9.140625" style="59" customWidth="1"/>
    <col min="11286" max="11286" width="11" style="59" customWidth="1"/>
    <col min="11287" max="11520" width="9.140625" style="59" customWidth="1"/>
    <col min="11521" max="11521" width="54.84765625" style="59" customWidth="1"/>
    <col min="11522" max="11522" width="12" style="59" customWidth="1"/>
    <col min="11523" max="11523" width="10.5703125" style="59" customWidth="1"/>
    <col min="11524" max="11524" width="78" style="59" customWidth="1"/>
    <col min="11525" max="11525" width="46.27734375" style="59" customWidth="1"/>
    <col min="11526" max="11526" width="20" style="59" customWidth="1"/>
    <col min="11527" max="11527" width="12" style="59" customWidth="1"/>
    <col min="11528" max="11528" width="16.84765625" style="59" customWidth="1"/>
    <col min="11529" max="11529" width="11.5703125" style="59" customWidth="1"/>
    <col min="11530" max="11530" width="9.27734375" style="59" customWidth="1"/>
    <col min="11531" max="11531" width="9.140625" style="59" customWidth="1"/>
    <col min="11532" max="11532" width="34.5703125" style="59" customWidth="1"/>
    <col min="11533" max="11539" width="9.140625" style="59" customWidth="1"/>
    <col min="11540" max="11540" width="35.7109375" style="59" customWidth="1"/>
    <col min="11541" max="11541" width="9.140625" style="59" customWidth="1"/>
    <col min="11542" max="11542" width="11" style="59" customWidth="1"/>
    <col min="11543" max="11776" width="9.140625" style="59" customWidth="1"/>
    <col min="11777" max="11777" width="54.84765625" style="59" customWidth="1"/>
    <col min="11778" max="11778" width="12" style="59" customWidth="1"/>
    <col min="11779" max="11779" width="10.5703125" style="59" customWidth="1"/>
    <col min="11780" max="11780" width="78" style="59" customWidth="1"/>
    <col min="11781" max="11781" width="46.27734375" style="59" customWidth="1"/>
    <col min="11782" max="11782" width="20" style="59" customWidth="1"/>
    <col min="11783" max="11783" width="12" style="59" customWidth="1"/>
    <col min="11784" max="11784" width="16.84765625" style="59" customWidth="1"/>
    <col min="11785" max="11785" width="11.5703125" style="59" customWidth="1"/>
    <col min="11786" max="11786" width="9.27734375" style="59" customWidth="1"/>
    <col min="11787" max="11787" width="9.140625" style="59" customWidth="1"/>
    <col min="11788" max="11788" width="34.5703125" style="59" customWidth="1"/>
    <col min="11789" max="11795" width="9.140625" style="59" customWidth="1"/>
    <col min="11796" max="11796" width="35.7109375" style="59" customWidth="1"/>
    <col min="11797" max="11797" width="9.140625" style="59" customWidth="1"/>
    <col min="11798" max="11798" width="11" style="59" customWidth="1"/>
    <col min="11799" max="12032" width="9.140625" style="59" customWidth="1"/>
    <col min="12033" max="12033" width="54.84765625" style="59" customWidth="1"/>
    <col min="12034" max="12034" width="12" style="59" customWidth="1"/>
    <col min="12035" max="12035" width="10.5703125" style="59" customWidth="1"/>
    <col min="12036" max="12036" width="78" style="59" customWidth="1"/>
    <col min="12037" max="12037" width="46.27734375" style="59" customWidth="1"/>
    <col min="12038" max="12038" width="20" style="59" customWidth="1"/>
    <col min="12039" max="12039" width="12" style="59" customWidth="1"/>
    <col min="12040" max="12040" width="16.84765625" style="59" customWidth="1"/>
    <col min="12041" max="12041" width="11.5703125" style="59" customWidth="1"/>
    <col min="12042" max="12042" width="9.27734375" style="59" customWidth="1"/>
    <col min="12043" max="12043" width="9.140625" style="59" customWidth="1"/>
    <col min="12044" max="12044" width="34.5703125" style="59" customWidth="1"/>
    <col min="12045" max="12051" width="9.140625" style="59" customWidth="1"/>
    <col min="12052" max="12052" width="35.7109375" style="59" customWidth="1"/>
    <col min="12053" max="12053" width="9.140625" style="59" customWidth="1"/>
    <col min="12054" max="12054" width="11" style="59" customWidth="1"/>
    <col min="12055" max="12288" width="9.140625" style="59" customWidth="1"/>
    <col min="12289" max="12289" width="54.84765625" style="59" customWidth="1"/>
    <col min="12290" max="12290" width="12" style="59" customWidth="1"/>
    <col min="12291" max="12291" width="10.5703125" style="59" customWidth="1"/>
    <col min="12292" max="12292" width="78" style="59" customWidth="1"/>
    <col min="12293" max="12293" width="46.27734375" style="59" customWidth="1"/>
    <col min="12294" max="12294" width="20" style="59" customWidth="1"/>
    <col min="12295" max="12295" width="12" style="59" customWidth="1"/>
    <col min="12296" max="12296" width="16.84765625" style="59" customWidth="1"/>
    <col min="12297" max="12297" width="11.5703125" style="59" customWidth="1"/>
    <col min="12298" max="12298" width="9.27734375" style="59" customWidth="1"/>
    <col min="12299" max="12299" width="9.140625" style="59" customWidth="1"/>
    <col min="12300" max="12300" width="34.5703125" style="59" customWidth="1"/>
    <col min="12301" max="12307" width="9.140625" style="59" customWidth="1"/>
    <col min="12308" max="12308" width="35.7109375" style="59" customWidth="1"/>
    <col min="12309" max="12309" width="9.140625" style="59" customWidth="1"/>
    <col min="12310" max="12310" width="11" style="59" customWidth="1"/>
    <col min="12311" max="12544" width="9.140625" style="59" customWidth="1"/>
    <col min="12545" max="12545" width="54.84765625" style="59" customWidth="1"/>
    <col min="12546" max="12546" width="12" style="59" customWidth="1"/>
    <col min="12547" max="12547" width="10.5703125" style="59" customWidth="1"/>
    <col min="12548" max="12548" width="78" style="59" customWidth="1"/>
    <col min="12549" max="12549" width="46.27734375" style="59" customWidth="1"/>
    <col min="12550" max="12550" width="20" style="59" customWidth="1"/>
    <col min="12551" max="12551" width="12" style="59" customWidth="1"/>
    <col min="12552" max="12552" width="16.84765625" style="59" customWidth="1"/>
    <col min="12553" max="12553" width="11.5703125" style="59" customWidth="1"/>
    <col min="12554" max="12554" width="9.27734375" style="59" customWidth="1"/>
    <col min="12555" max="12555" width="9.140625" style="59" customWidth="1"/>
    <col min="12556" max="12556" width="34.5703125" style="59" customWidth="1"/>
    <col min="12557" max="12563" width="9.140625" style="59" customWidth="1"/>
    <col min="12564" max="12564" width="35.7109375" style="59" customWidth="1"/>
    <col min="12565" max="12565" width="9.140625" style="59" customWidth="1"/>
    <col min="12566" max="12566" width="11" style="59" customWidth="1"/>
    <col min="12567" max="12800" width="9.140625" style="59" customWidth="1"/>
    <col min="12801" max="12801" width="54.84765625" style="59" customWidth="1"/>
    <col min="12802" max="12802" width="12" style="59" customWidth="1"/>
    <col min="12803" max="12803" width="10.5703125" style="59" customWidth="1"/>
    <col min="12804" max="12804" width="78" style="59" customWidth="1"/>
    <col min="12805" max="12805" width="46.27734375" style="59" customWidth="1"/>
    <col min="12806" max="12806" width="20" style="59" customWidth="1"/>
    <col min="12807" max="12807" width="12" style="59" customWidth="1"/>
    <col min="12808" max="12808" width="16.84765625" style="59" customWidth="1"/>
    <col min="12809" max="12809" width="11.5703125" style="59" customWidth="1"/>
    <col min="12810" max="12810" width="9.27734375" style="59" customWidth="1"/>
    <col min="12811" max="12811" width="9.140625" style="59" customWidth="1"/>
    <col min="12812" max="12812" width="34.5703125" style="59" customWidth="1"/>
    <col min="12813" max="12819" width="9.140625" style="59" customWidth="1"/>
    <col min="12820" max="12820" width="35.7109375" style="59" customWidth="1"/>
    <col min="12821" max="12821" width="9.140625" style="59" customWidth="1"/>
    <col min="12822" max="12822" width="11" style="59" customWidth="1"/>
    <col min="12823" max="13056" width="9.140625" style="59" customWidth="1"/>
    <col min="13057" max="13057" width="54.84765625" style="59" customWidth="1"/>
    <col min="13058" max="13058" width="12" style="59" customWidth="1"/>
    <col min="13059" max="13059" width="10.5703125" style="59" customWidth="1"/>
    <col min="13060" max="13060" width="78" style="59" customWidth="1"/>
    <col min="13061" max="13061" width="46.27734375" style="59" customWidth="1"/>
    <col min="13062" max="13062" width="20" style="59" customWidth="1"/>
    <col min="13063" max="13063" width="12" style="59" customWidth="1"/>
    <col min="13064" max="13064" width="16.84765625" style="59" customWidth="1"/>
    <col min="13065" max="13065" width="11.5703125" style="59" customWidth="1"/>
    <col min="13066" max="13066" width="9.27734375" style="59" customWidth="1"/>
    <col min="13067" max="13067" width="9.140625" style="59" customWidth="1"/>
    <col min="13068" max="13068" width="34.5703125" style="59" customWidth="1"/>
    <col min="13069" max="13075" width="9.140625" style="59" customWidth="1"/>
    <col min="13076" max="13076" width="35.7109375" style="59" customWidth="1"/>
    <col min="13077" max="13077" width="9.140625" style="59" customWidth="1"/>
    <col min="13078" max="13078" width="11" style="59" customWidth="1"/>
    <col min="13079" max="13312" width="9.140625" style="59" customWidth="1"/>
    <col min="13313" max="13313" width="54.84765625" style="59" customWidth="1"/>
    <col min="13314" max="13314" width="12" style="59" customWidth="1"/>
    <col min="13315" max="13315" width="10.5703125" style="59" customWidth="1"/>
    <col min="13316" max="13316" width="78" style="59" customWidth="1"/>
    <col min="13317" max="13317" width="46.27734375" style="59" customWidth="1"/>
    <col min="13318" max="13318" width="20" style="59" customWidth="1"/>
    <col min="13319" max="13319" width="12" style="59" customWidth="1"/>
    <col min="13320" max="13320" width="16.84765625" style="59" customWidth="1"/>
    <col min="13321" max="13321" width="11.5703125" style="59" customWidth="1"/>
    <col min="13322" max="13322" width="9.27734375" style="59" customWidth="1"/>
    <col min="13323" max="13323" width="9.140625" style="59" customWidth="1"/>
    <col min="13324" max="13324" width="34.5703125" style="59" customWidth="1"/>
    <col min="13325" max="13331" width="9.140625" style="59" customWidth="1"/>
    <col min="13332" max="13332" width="35.7109375" style="59" customWidth="1"/>
    <col min="13333" max="13333" width="9.140625" style="59" customWidth="1"/>
    <col min="13334" max="13334" width="11" style="59" customWidth="1"/>
    <col min="13335" max="13568" width="9.140625" style="59" customWidth="1"/>
    <col min="13569" max="13569" width="54.84765625" style="59" customWidth="1"/>
    <col min="13570" max="13570" width="12" style="59" customWidth="1"/>
    <col min="13571" max="13571" width="10.5703125" style="59" customWidth="1"/>
    <col min="13572" max="13572" width="78" style="59" customWidth="1"/>
    <col min="13573" max="13573" width="46.27734375" style="59" customWidth="1"/>
    <col min="13574" max="13574" width="20" style="59" customWidth="1"/>
    <col min="13575" max="13575" width="12" style="59" customWidth="1"/>
    <col min="13576" max="13576" width="16.84765625" style="59" customWidth="1"/>
    <col min="13577" max="13577" width="11.5703125" style="59" customWidth="1"/>
    <col min="13578" max="13578" width="9.27734375" style="59" customWidth="1"/>
    <col min="13579" max="13579" width="9.140625" style="59" customWidth="1"/>
    <col min="13580" max="13580" width="34.5703125" style="59" customWidth="1"/>
    <col min="13581" max="13587" width="9.140625" style="59" customWidth="1"/>
    <col min="13588" max="13588" width="35.7109375" style="59" customWidth="1"/>
    <col min="13589" max="13589" width="9.140625" style="59" customWidth="1"/>
    <col min="13590" max="13590" width="11" style="59" customWidth="1"/>
    <col min="13591" max="13824" width="9.140625" style="59" customWidth="1"/>
    <col min="13825" max="13825" width="54.84765625" style="59" customWidth="1"/>
    <col min="13826" max="13826" width="12" style="59" customWidth="1"/>
    <col min="13827" max="13827" width="10.5703125" style="59" customWidth="1"/>
    <col min="13828" max="13828" width="78" style="59" customWidth="1"/>
    <col min="13829" max="13829" width="46.27734375" style="59" customWidth="1"/>
    <col min="13830" max="13830" width="20" style="59" customWidth="1"/>
    <col min="13831" max="13831" width="12" style="59" customWidth="1"/>
    <col min="13832" max="13832" width="16.84765625" style="59" customWidth="1"/>
    <col min="13833" max="13833" width="11.5703125" style="59" customWidth="1"/>
    <col min="13834" max="13834" width="9.27734375" style="59" customWidth="1"/>
    <col min="13835" max="13835" width="9.140625" style="59" customWidth="1"/>
    <col min="13836" max="13836" width="34.5703125" style="59" customWidth="1"/>
    <col min="13837" max="13843" width="9.140625" style="59" customWidth="1"/>
    <col min="13844" max="13844" width="35.7109375" style="59" customWidth="1"/>
    <col min="13845" max="13845" width="9.140625" style="59" customWidth="1"/>
    <col min="13846" max="13846" width="11" style="59" customWidth="1"/>
    <col min="13847" max="14080" width="9.140625" style="59" customWidth="1"/>
    <col min="14081" max="14081" width="54.84765625" style="59" customWidth="1"/>
    <col min="14082" max="14082" width="12" style="59" customWidth="1"/>
    <col min="14083" max="14083" width="10.5703125" style="59" customWidth="1"/>
    <col min="14084" max="14084" width="78" style="59" customWidth="1"/>
    <col min="14085" max="14085" width="46.27734375" style="59" customWidth="1"/>
    <col min="14086" max="14086" width="20" style="59" customWidth="1"/>
    <col min="14087" max="14087" width="12" style="59" customWidth="1"/>
    <col min="14088" max="14088" width="16.84765625" style="59" customWidth="1"/>
    <col min="14089" max="14089" width="11.5703125" style="59" customWidth="1"/>
    <col min="14090" max="14090" width="9.27734375" style="59" customWidth="1"/>
    <col min="14091" max="14091" width="9.140625" style="59" customWidth="1"/>
    <col min="14092" max="14092" width="34.5703125" style="59" customWidth="1"/>
    <col min="14093" max="14099" width="9.140625" style="59" customWidth="1"/>
    <col min="14100" max="14100" width="35.7109375" style="59" customWidth="1"/>
    <col min="14101" max="14101" width="9.140625" style="59" customWidth="1"/>
    <col min="14102" max="14102" width="11" style="59" customWidth="1"/>
    <col min="14103" max="14336" width="9.140625" style="59" customWidth="1"/>
    <col min="14337" max="14337" width="54.84765625" style="59" customWidth="1"/>
    <col min="14338" max="14338" width="12" style="59" customWidth="1"/>
    <col min="14339" max="14339" width="10.5703125" style="59" customWidth="1"/>
    <col min="14340" max="14340" width="78" style="59" customWidth="1"/>
    <col min="14341" max="14341" width="46.27734375" style="59" customWidth="1"/>
    <col min="14342" max="14342" width="20" style="59" customWidth="1"/>
    <col min="14343" max="14343" width="12" style="59" customWidth="1"/>
    <col min="14344" max="14344" width="16.84765625" style="59" customWidth="1"/>
    <col min="14345" max="14345" width="11.5703125" style="59" customWidth="1"/>
    <col min="14346" max="14346" width="9.27734375" style="59" customWidth="1"/>
    <col min="14347" max="14347" width="9.140625" style="59" customWidth="1"/>
    <col min="14348" max="14348" width="34.5703125" style="59" customWidth="1"/>
    <col min="14349" max="14355" width="9.140625" style="59" customWidth="1"/>
    <col min="14356" max="14356" width="35.7109375" style="59" customWidth="1"/>
    <col min="14357" max="14357" width="9.140625" style="59" customWidth="1"/>
    <col min="14358" max="14358" width="11" style="59" customWidth="1"/>
    <col min="14359" max="14592" width="9.140625" style="59" customWidth="1"/>
    <col min="14593" max="14593" width="54.84765625" style="59" customWidth="1"/>
    <col min="14594" max="14594" width="12" style="59" customWidth="1"/>
    <col min="14595" max="14595" width="10.5703125" style="59" customWidth="1"/>
    <col min="14596" max="14596" width="78" style="59" customWidth="1"/>
    <col min="14597" max="14597" width="46.27734375" style="59" customWidth="1"/>
    <col min="14598" max="14598" width="20" style="59" customWidth="1"/>
    <col min="14599" max="14599" width="12" style="59" customWidth="1"/>
    <col min="14600" max="14600" width="16.84765625" style="59" customWidth="1"/>
    <col min="14601" max="14601" width="11.5703125" style="59" customWidth="1"/>
    <col min="14602" max="14602" width="9.27734375" style="59" customWidth="1"/>
    <col min="14603" max="14603" width="9.140625" style="59" customWidth="1"/>
    <col min="14604" max="14604" width="34.5703125" style="59" customWidth="1"/>
    <col min="14605" max="14611" width="9.140625" style="59" customWidth="1"/>
    <col min="14612" max="14612" width="35.7109375" style="59" customWidth="1"/>
    <col min="14613" max="14613" width="9.140625" style="59" customWidth="1"/>
    <col min="14614" max="14614" width="11" style="59" customWidth="1"/>
    <col min="14615" max="14848" width="9.140625" style="59" customWidth="1"/>
    <col min="14849" max="14849" width="54.84765625" style="59" customWidth="1"/>
    <col min="14850" max="14850" width="12" style="59" customWidth="1"/>
    <col min="14851" max="14851" width="10.5703125" style="59" customWidth="1"/>
    <col min="14852" max="14852" width="78" style="59" customWidth="1"/>
    <col min="14853" max="14853" width="46.27734375" style="59" customWidth="1"/>
    <col min="14854" max="14854" width="20" style="59" customWidth="1"/>
    <col min="14855" max="14855" width="12" style="59" customWidth="1"/>
    <col min="14856" max="14856" width="16.84765625" style="59" customWidth="1"/>
    <col min="14857" max="14857" width="11.5703125" style="59" customWidth="1"/>
    <col min="14858" max="14858" width="9.27734375" style="59" customWidth="1"/>
    <col min="14859" max="14859" width="9.140625" style="59" customWidth="1"/>
    <col min="14860" max="14860" width="34.5703125" style="59" customWidth="1"/>
    <col min="14861" max="14867" width="9.140625" style="59" customWidth="1"/>
    <col min="14868" max="14868" width="35.7109375" style="59" customWidth="1"/>
    <col min="14869" max="14869" width="9.140625" style="59" customWidth="1"/>
    <col min="14870" max="14870" width="11" style="59" customWidth="1"/>
    <col min="14871" max="15104" width="9.140625" style="59" customWidth="1"/>
    <col min="15105" max="15105" width="54.84765625" style="59" customWidth="1"/>
    <col min="15106" max="15106" width="12" style="59" customWidth="1"/>
    <col min="15107" max="15107" width="10.5703125" style="59" customWidth="1"/>
    <col min="15108" max="15108" width="78" style="59" customWidth="1"/>
    <col min="15109" max="15109" width="46.27734375" style="59" customWidth="1"/>
    <col min="15110" max="15110" width="20" style="59" customWidth="1"/>
    <col min="15111" max="15111" width="12" style="59" customWidth="1"/>
    <col min="15112" max="15112" width="16.84765625" style="59" customWidth="1"/>
    <col min="15113" max="15113" width="11.5703125" style="59" customWidth="1"/>
    <col min="15114" max="15114" width="9.27734375" style="59" customWidth="1"/>
    <col min="15115" max="15115" width="9.140625" style="59" customWidth="1"/>
    <col min="15116" max="15116" width="34.5703125" style="59" customWidth="1"/>
    <col min="15117" max="15123" width="9.140625" style="59" customWidth="1"/>
    <col min="15124" max="15124" width="35.7109375" style="59" customWidth="1"/>
    <col min="15125" max="15125" width="9.140625" style="59" customWidth="1"/>
    <col min="15126" max="15126" width="11" style="59" customWidth="1"/>
    <col min="15127" max="15360" width="9.140625" style="59" customWidth="1"/>
    <col min="15361" max="15361" width="54.84765625" style="59" customWidth="1"/>
    <col min="15362" max="15362" width="12" style="59" customWidth="1"/>
    <col min="15363" max="15363" width="10.5703125" style="59" customWidth="1"/>
    <col min="15364" max="15364" width="78" style="59" customWidth="1"/>
    <col min="15365" max="15365" width="46.27734375" style="59" customWidth="1"/>
    <col min="15366" max="15366" width="20" style="59" customWidth="1"/>
    <col min="15367" max="15367" width="12" style="59" customWidth="1"/>
    <col min="15368" max="15368" width="16.84765625" style="59" customWidth="1"/>
    <col min="15369" max="15369" width="11.5703125" style="59" customWidth="1"/>
    <col min="15370" max="15370" width="9.27734375" style="59" customWidth="1"/>
    <col min="15371" max="15371" width="9.140625" style="59" customWidth="1"/>
    <col min="15372" max="15372" width="34.5703125" style="59" customWidth="1"/>
    <col min="15373" max="15379" width="9.140625" style="59" customWidth="1"/>
    <col min="15380" max="15380" width="35.7109375" style="59" customWidth="1"/>
    <col min="15381" max="15381" width="9.140625" style="59" customWidth="1"/>
    <col min="15382" max="15382" width="11" style="59" customWidth="1"/>
    <col min="15383" max="15616" width="9.140625" style="59" customWidth="1"/>
    <col min="15617" max="15617" width="54.84765625" style="59" customWidth="1"/>
    <col min="15618" max="15618" width="12" style="59" customWidth="1"/>
    <col min="15619" max="15619" width="10.5703125" style="59" customWidth="1"/>
    <col min="15620" max="15620" width="78" style="59" customWidth="1"/>
    <col min="15621" max="15621" width="46.27734375" style="59" customWidth="1"/>
    <col min="15622" max="15622" width="20" style="59" customWidth="1"/>
    <col min="15623" max="15623" width="12" style="59" customWidth="1"/>
    <col min="15624" max="15624" width="16.84765625" style="59" customWidth="1"/>
    <col min="15625" max="15625" width="11.5703125" style="59" customWidth="1"/>
    <col min="15626" max="15626" width="9.27734375" style="59" customWidth="1"/>
    <col min="15627" max="15627" width="9.140625" style="59" customWidth="1"/>
    <col min="15628" max="15628" width="34.5703125" style="59" customWidth="1"/>
    <col min="15629" max="15635" width="9.140625" style="59" customWidth="1"/>
    <col min="15636" max="15636" width="35.7109375" style="59" customWidth="1"/>
    <col min="15637" max="15637" width="9.140625" style="59" customWidth="1"/>
    <col min="15638" max="15638" width="11" style="59" customWidth="1"/>
    <col min="15639" max="15872" width="9.140625" style="59" customWidth="1"/>
    <col min="15873" max="15873" width="54.84765625" style="59" customWidth="1"/>
    <col min="15874" max="15874" width="12" style="59" customWidth="1"/>
    <col min="15875" max="15875" width="10.5703125" style="59" customWidth="1"/>
    <col min="15876" max="15876" width="78" style="59" customWidth="1"/>
    <col min="15877" max="15877" width="46.27734375" style="59" customWidth="1"/>
    <col min="15878" max="15878" width="20" style="59" customWidth="1"/>
    <col min="15879" max="15879" width="12" style="59" customWidth="1"/>
    <col min="15880" max="15880" width="16.84765625" style="59" customWidth="1"/>
    <col min="15881" max="15881" width="11.5703125" style="59" customWidth="1"/>
    <col min="15882" max="15882" width="9.27734375" style="59" customWidth="1"/>
    <col min="15883" max="15883" width="9.140625" style="59" customWidth="1"/>
    <col min="15884" max="15884" width="34.5703125" style="59" customWidth="1"/>
    <col min="15885" max="15891" width="9.140625" style="59" customWidth="1"/>
    <col min="15892" max="15892" width="35.7109375" style="59" customWidth="1"/>
    <col min="15893" max="15893" width="9.140625" style="59" customWidth="1"/>
    <col min="15894" max="15894" width="11" style="59" customWidth="1"/>
    <col min="15895" max="16128" width="9.140625" style="59" customWidth="1"/>
    <col min="16129" max="16129" width="54.84765625" style="59" customWidth="1"/>
    <col min="16130" max="16130" width="12" style="59" customWidth="1"/>
    <col min="16131" max="16131" width="10.5703125" style="59" customWidth="1"/>
    <col min="16132" max="16132" width="78" style="59" customWidth="1"/>
    <col min="16133" max="16133" width="46.27734375" style="59" customWidth="1"/>
    <col min="16134" max="16134" width="20" style="59" customWidth="1"/>
    <col min="16135" max="16135" width="12" style="59" customWidth="1"/>
    <col min="16136" max="16136" width="16.84765625" style="59" customWidth="1"/>
    <col min="16137" max="16137" width="11.5703125" style="59" customWidth="1"/>
    <col min="16138" max="16138" width="9.27734375" style="59" customWidth="1"/>
    <col min="16139" max="16139" width="9.140625" style="59" customWidth="1"/>
    <col min="16140" max="16140" width="34.5703125" style="59" customWidth="1"/>
    <col min="16141" max="16147" width="9.140625" style="59" customWidth="1"/>
    <col min="16148" max="16148" width="35.7109375" style="59" customWidth="1"/>
    <col min="16149" max="16149" width="9.140625" style="59" customWidth="1"/>
    <col min="16150" max="16150" width="11" style="59" customWidth="1"/>
    <col min="16151" max="16384" width="9.140625" style="59" customWidth="1"/>
  </cols>
  <sheetData>
    <row r="1" spans="1:22" s="59" customFormat="1" ht="18">
      <c r="A1" s="57" t="s">
        <v>68</v>
      </c>
      <c r="B1" s="237" t="s">
        <v>1910</v>
      </c>
      <c r="C1" s="58"/>
      <c r="T1" s="189" t="s">
        <v>1855</v>
      </c>
      <c r="V1" s="60"/>
    </row>
    <row r="2" spans="20:20">
      <c r="T2" t="s">
        <v>1856</v>
      </c>
    </row>
    <row r="3" spans="1:22" s="59" customFormat="1" ht="18">
      <c r="A3" s="61" t="s">
        <v>69</v>
      </c>
      <c r="B3" s="62"/>
      <c r="C3" s="62"/>
      <c r="T3" t="s">
        <v>1857</v>
      </c>
      <c r="V3" s="60"/>
    </row>
    <row r="4" spans="1:22" s="59" customFormat="1" ht="18">
      <c r="A4" s="61"/>
      <c r="B4" s="62"/>
      <c r="C4" s="62"/>
      <c r="T4" t="s">
        <v>1858</v>
      </c>
      <c r="V4" s="60"/>
    </row>
    <row r="5" spans="6:22" s="59" customFormat="1" ht="13">
      <c r="F5" s="63" t="s">
        <v>70</v>
      </c>
      <c r="G5" s="58"/>
      <c r="V5" s="60"/>
    </row>
    <row r="6" spans="1:14" ht="36">
      <c r="A6" s="64" t="s">
        <v>71</v>
      </c>
      <c r="E6" s="65"/>
      <c r="I6" s="59" t="s">
        <v>72</v>
      </c>
      <c r="J6" s="66">
        <v>0.091</v>
      </c>
      <c r="K6" s="59" t="s">
        <v>73</v>
      </c>
      <c r="L6" s="59" t="s">
        <v>72</v>
      </c>
      <c r="M6" s="66">
        <v>0.128</v>
      </c>
      <c r="N6" s="59" t="s">
        <v>74</v>
      </c>
    </row>
    <row r="7" spans="3:13" ht="38">
      <c r="C7" s="68" t="s">
        <v>75</v>
      </c>
      <c r="E7" s="69" t="s">
        <v>76</v>
      </c>
      <c r="F7" s="70"/>
      <c r="G7" s="71">
        <v>0.25</v>
      </c>
      <c r="I7" s="59" t="s">
        <v>77</v>
      </c>
      <c r="J7" s="66">
        <v>0.14</v>
      </c>
      <c r="L7" s="59" t="s">
        <v>77</v>
      </c>
      <c r="M7" s="66">
        <v>0.14</v>
      </c>
    </row>
    <row r="8" spans="1:13" ht="13">
      <c r="A8" s="69" t="s">
        <v>78</v>
      </c>
      <c r="B8" s="59">
        <v>1</v>
      </c>
      <c r="C8" s="67">
        <v>0</v>
      </c>
      <c r="D8" s="69" t="s">
        <v>78</v>
      </c>
      <c r="E8" s="69"/>
      <c r="F8" s="72" t="s">
        <v>79</v>
      </c>
      <c r="G8" s="72" t="s">
        <v>80</v>
      </c>
      <c r="H8" s="73" t="s">
        <v>50</v>
      </c>
      <c r="J8" s="74">
        <f>SUM(J6:J7)</f>
        <v>0.231</v>
      </c>
      <c r="M8" s="74">
        <f>SUM(M6:M7)</f>
        <v>0.268</v>
      </c>
    </row>
    <row r="9" spans="1:9" ht="13">
      <c r="A9" s="75" t="s">
        <v>81</v>
      </c>
      <c r="B9" s="59">
        <v>1</v>
      </c>
      <c r="C9" s="76">
        <v>0</v>
      </c>
      <c r="D9" s="59" t="str">
        <f>+A9</f>
        <v>Staff</v>
      </c>
      <c r="E9" s="77"/>
      <c r="F9" s="78"/>
      <c r="G9" s="79">
        <f>F9*J$8</f>
        <v>0</v>
      </c>
      <c r="H9" s="80">
        <f>SUM(F9:G9)</f>
        <v>0</v>
      </c>
      <c r="I9" s="81"/>
    </row>
    <row r="10" spans="1:9" ht="13">
      <c r="A10" s="77" t="s">
        <v>82</v>
      </c>
      <c r="B10" s="59">
        <f>+B9+1</f>
        <v>2</v>
      </c>
      <c r="C10" s="76">
        <f>H10/44/37.5</f>
        <v>0</v>
      </c>
      <c r="D10" s="59" t="str">
        <f>+A10</f>
        <v>Band 1</v>
      </c>
      <c r="E10" s="77"/>
      <c r="F10" s="78"/>
      <c r="G10" s="79">
        <f>F10*J$8</f>
        <v>0</v>
      </c>
      <c r="H10" s="80">
        <f>SUM(F10:G10)</f>
        <v>0</v>
      </c>
      <c r="I10" s="81"/>
    </row>
    <row r="11" spans="1:9" ht="13">
      <c r="A11" s="77" t="s">
        <v>83</v>
      </c>
      <c r="B11" s="59">
        <f>+B10+1</f>
        <v>3</v>
      </c>
      <c r="C11" s="76">
        <f>H11/44/37.5</f>
        <v>13.000106060606059</v>
      </c>
      <c r="D11" s="59" t="str">
        <f>+A11</f>
        <v>Band 2 (eg MTO)</v>
      </c>
      <c r="E11" s="77"/>
      <c r="F11" s="78">
        <v>17425</v>
      </c>
      <c r="G11" s="79">
        <f>F11*J$8</f>
        <v>4025.175</v>
      </c>
      <c r="H11" s="80">
        <f>SUM(F11:G11)</f>
        <v>21450.175</v>
      </c>
      <c r="I11" s="81"/>
    </row>
    <row r="12" spans="1:9" ht="13">
      <c r="A12" s="77" t="s">
        <v>84</v>
      </c>
      <c r="B12" s="59">
        <f>+B11+1</f>
        <v>4</v>
      </c>
      <c r="C12" s="76">
        <f>H12/44/37.5</f>
        <v>14.375095757575759</v>
      </c>
      <c r="D12" s="59" t="str">
        <f>+A12</f>
        <v>Band 3 (eg Clerical)</v>
      </c>
      <c r="E12" s="77"/>
      <c r="F12" s="78">
        <v>19268</v>
      </c>
      <c r="G12" s="79">
        <f>F12*J$8</f>
        <v>4450.908</v>
      </c>
      <c r="H12" s="80">
        <f>SUM(F12:G12)</f>
        <v>23718.908</v>
      </c>
      <c r="I12" s="81"/>
    </row>
    <row r="13" spans="1:9" ht="13">
      <c r="A13" s="77" t="s">
        <v>85</v>
      </c>
      <c r="B13" s="59">
        <f>+B12+1</f>
        <v>5</v>
      </c>
      <c r="C13" s="76">
        <f>H13/44/37.5</f>
        <v>16.425270303030302</v>
      </c>
      <c r="D13" s="59" t="str">
        <f>+A13</f>
        <v>Band 4 (eg dental nurse, MLSO)</v>
      </c>
      <c r="E13" s="77"/>
      <c r="F13" s="78">
        <v>22016</v>
      </c>
      <c r="G13" s="79">
        <f>F13*J$8</f>
        <v>5085.696</v>
      </c>
      <c r="H13" s="80">
        <f>SUM(F13:G13)</f>
        <v>27101.696</v>
      </c>
      <c r="I13" s="81"/>
    </row>
    <row r="14" spans="1:9" ht="13">
      <c r="A14" s="77" t="s">
        <v>86</v>
      </c>
      <c r="B14" s="59">
        <f>+B13+1</f>
        <v>6</v>
      </c>
      <c r="C14" s="76">
        <f>H14/44/37.5</f>
        <v>20.815836969696971</v>
      </c>
      <c r="D14" s="59" t="str">
        <f>+A14</f>
        <v>Band 5 (eg AHPs)</v>
      </c>
      <c r="E14" s="77"/>
      <c r="F14" s="78">
        <v>27901</v>
      </c>
      <c r="G14" s="79">
        <f>F14*J$8</f>
        <v>6445.131</v>
      </c>
      <c r="H14" s="80">
        <f>SUM(F14:G14)</f>
        <v>34346.131</v>
      </c>
      <c r="I14" s="81"/>
    </row>
    <row r="15" spans="1:9" ht="13">
      <c r="A15" s="77" t="s">
        <v>87</v>
      </c>
      <c r="B15" s="59">
        <f>+B14+1</f>
        <v>7</v>
      </c>
      <c r="C15" s="76">
        <v>24.95</v>
      </c>
      <c r="D15" s="59" t="str">
        <f>+A15</f>
        <v>Band 6 (eg Staff Nurse/Midwife)</v>
      </c>
      <c r="E15" s="77"/>
      <c r="F15" s="78">
        <v>34530</v>
      </c>
      <c r="G15" s="79">
        <f>F15*J$8</f>
        <v>7976.43</v>
      </c>
      <c r="H15" s="80">
        <f>SUM(F15:G15)</f>
        <v>42506.43</v>
      </c>
      <c r="I15" s="82"/>
    </row>
    <row r="16" spans="1:9" ht="13">
      <c r="A16" s="77" t="s">
        <v>88</v>
      </c>
      <c r="B16" s="59">
        <f>+B15+1</f>
        <v>8</v>
      </c>
      <c r="C16" s="76">
        <f>H16/44/37.5</f>
        <v>31.168208484848485</v>
      </c>
      <c r="D16" s="59" t="str">
        <f>+A16</f>
        <v>Band 7 (eg Senior Nurse)</v>
      </c>
      <c r="E16" s="77"/>
      <c r="F16" s="78">
        <v>40558</v>
      </c>
      <c r="G16" s="79">
        <f>F16*M$8</f>
        <v>10869.544</v>
      </c>
      <c r="H16" s="80">
        <f>SUM(F16:G16)</f>
        <v>51427.544</v>
      </c>
      <c r="I16" s="82"/>
    </row>
    <row r="17" spans="1:9" ht="13">
      <c r="A17" s="77" t="s">
        <v>89</v>
      </c>
      <c r="B17" s="59">
        <f>+B16+1</f>
        <v>9</v>
      </c>
      <c r="C17" s="76">
        <f>H17/44/37.5</f>
        <v>36.186414545454546</v>
      </c>
      <c r="D17" s="59" t="str">
        <f>+A17</f>
        <v>Band 8A (eg Senior Clinical Scientist)</v>
      </c>
      <c r="E17" s="77"/>
      <c r="F17" s="78">
        <v>47088</v>
      </c>
      <c r="G17" s="79">
        <f>F17*M$8</f>
        <v>12619.584</v>
      </c>
      <c r="H17" s="80">
        <f>SUM(F17:G17)</f>
        <v>59707.584</v>
      </c>
      <c r="I17" s="79"/>
    </row>
    <row r="18" spans="1:9" ht="13">
      <c r="A18" s="77" t="s">
        <v>90</v>
      </c>
      <c r="B18" s="59">
        <f>+B17+1</f>
        <v>10</v>
      </c>
      <c r="C18" s="76">
        <f>H18/44/37.5</f>
        <v>43.422467878787877</v>
      </c>
      <c r="D18" s="59" t="str">
        <f>+A18</f>
        <v>Band 8B (eg Nurse Consultant)</v>
      </c>
      <c r="E18" s="77"/>
      <c r="F18" s="78">
        <v>56504</v>
      </c>
      <c r="G18" s="79">
        <f>F18*M$8</f>
        <v>15143.072</v>
      </c>
      <c r="H18" s="80">
        <f>SUM(F18:G18)</f>
        <v>71647.072</v>
      </c>
      <c r="I18" s="79"/>
    </row>
    <row r="19" spans="1:9" ht="13">
      <c r="A19" s="77" t="s">
        <v>91</v>
      </c>
      <c r="B19" s="59">
        <f>+B18+1</f>
        <v>11</v>
      </c>
      <c r="C19" s="76">
        <f>H19/44/37.5</f>
        <v>52.107115151515153</v>
      </c>
      <c r="D19" s="59" t="str">
        <f>+A19</f>
        <v>Band 8C (eg Senior Manager)</v>
      </c>
      <c r="E19" s="77"/>
      <c r="F19" s="78">
        <v>67805</v>
      </c>
      <c r="G19" s="79">
        <f>F19*M$8</f>
        <v>18171.74</v>
      </c>
      <c r="H19" s="80">
        <f>SUM(F19:G19)</f>
        <v>85976.74</v>
      </c>
      <c r="I19" s="81"/>
    </row>
    <row r="20" spans="1:8" ht="13">
      <c r="A20" s="77" t="s">
        <v>92</v>
      </c>
      <c r="B20" s="59">
        <f>+B19+1</f>
        <v>12</v>
      </c>
      <c r="C20" s="76">
        <f>H20/44/37.5</f>
        <v>62.722196363636357</v>
      </c>
      <c r="D20" s="59" t="str">
        <f>+A20</f>
        <v>Band 8D (eg Director)</v>
      </c>
      <c r="E20" s="77"/>
      <c r="F20" s="78">
        <v>81618</v>
      </c>
      <c r="G20" s="79">
        <f>F20*M$8</f>
        <v>21873.624</v>
      </c>
      <c r="H20" s="80">
        <f>SUM(F20:G20)</f>
        <v>103491.624</v>
      </c>
    </row>
    <row r="21" spans="1:11" ht="13">
      <c r="A21" s="77" t="s">
        <v>93</v>
      </c>
      <c r="B21" s="59">
        <f>+B20+1</f>
        <v>13</v>
      </c>
      <c r="C21" s="83">
        <v>72.06</v>
      </c>
      <c r="D21" s="84" t="str">
        <f>+A21</f>
        <v>Band 9 (eg Executive)</v>
      </c>
      <c r="E21" s="77"/>
      <c r="F21" s="85" t="s">
        <v>94</v>
      </c>
      <c r="G21" s="86"/>
      <c r="H21" s="79"/>
      <c r="I21" s="87"/>
      <c r="J21" s="88"/>
      <c r="K21" s="88"/>
    </row>
    <row r="22" spans="1:11" ht="13">
      <c r="A22" s="77" t="s">
        <v>95</v>
      </c>
      <c r="B22" s="59">
        <f>+B21+1</f>
        <v>14</v>
      </c>
      <c r="C22" s="83">
        <v>0</v>
      </c>
      <c r="D22" s="84" t="str">
        <f>+A22</f>
        <v>Student</v>
      </c>
      <c r="E22" s="77"/>
      <c r="F22" s="85"/>
      <c r="G22" s="86"/>
      <c r="H22" s="79"/>
      <c r="I22" s="87"/>
      <c r="J22" s="88"/>
      <c r="K22" s="88"/>
    </row>
    <row r="23" spans="1:11" ht="13">
      <c r="A23" s="77" t="s">
        <v>96</v>
      </c>
      <c r="B23" s="59">
        <f>+B22+1</f>
        <v>15</v>
      </c>
      <c r="C23" s="83">
        <v>83.81</v>
      </c>
      <c r="D23" s="84" t="str">
        <f>+A23</f>
        <v>Consultant</v>
      </c>
      <c r="E23" s="77"/>
      <c r="F23" s="85" t="s">
        <v>94</v>
      </c>
      <c r="G23" s="86"/>
      <c r="H23" s="79"/>
      <c r="I23" s="87"/>
      <c r="J23" s="87"/>
      <c r="K23" s="87"/>
    </row>
    <row r="24" spans="1:11" ht="13">
      <c r="A24" s="77" t="s">
        <v>97</v>
      </c>
      <c r="B24" s="59">
        <f>+B23+1</f>
        <v>16</v>
      </c>
      <c r="C24" s="83">
        <v>33.73</v>
      </c>
      <c r="D24" s="84" t="str">
        <f>+A24</f>
        <v>Specialist Registrar</v>
      </c>
      <c r="E24" s="77"/>
      <c r="F24" s="85" t="s">
        <v>94</v>
      </c>
      <c r="G24" s="86"/>
      <c r="H24" s="79"/>
      <c r="I24" s="87"/>
      <c r="J24" s="87"/>
      <c r="K24" s="87"/>
    </row>
    <row r="25" spans="1:11" ht="13">
      <c r="A25" s="77" t="s">
        <v>98</v>
      </c>
      <c r="B25" s="59">
        <f>+B24+1</f>
        <v>17</v>
      </c>
      <c r="C25" s="83">
        <v>27.79</v>
      </c>
      <c r="D25" s="84" t="str">
        <f>+A25</f>
        <v>SHO</v>
      </c>
      <c r="E25" s="77"/>
      <c r="F25" s="85" t="s">
        <v>94</v>
      </c>
      <c r="G25" s="86"/>
      <c r="H25" s="79"/>
      <c r="I25" s="87"/>
      <c r="J25" s="87"/>
      <c r="K25" s="87"/>
    </row>
    <row r="26" spans="1:11" ht="13">
      <c r="A26" s="77" t="s">
        <v>99</v>
      </c>
      <c r="B26" s="59">
        <f>+B25+1</f>
        <v>18</v>
      </c>
      <c r="C26" s="83">
        <v>17.99</v>
      </c>
      <c r="D26" s="84" t="str">
        <f>+A26</f>
        <v>HO</v>
      </c>
      <c r="E26" s="77"/>
      <c r="F26" s="85" t="s">
        <v>94</v>
      </c>
      <c r="G26" s="86"/>
      <c r="H26" s="79"/>
      <c r="I26" s="87"/>
      <c r="J26" s="87"/>
      <c r="K26" s="87"/>
    </row>
    <row r="27" spans="1:11" ht="13">
      <c r="A27" s="77" t="s">
        <v>100</v>
      </c>
      <c r="B27" s="59">
        <f>+B26+1</f>
        <v>19</v>
      </c>
      <c r="C27" s="83">
        <v>59.92</v>
      </c>
      <c r="D27" s="84" t="str">
        <f>+A27</f>
        <v>Associate Specialist</v>
      </c>
      <c r="E27" s="77"/>
      <c r="F27" s="85" t="s">
        <v>94</v>
      </c>
      <c r="G27" s="86"/>
      <c r="H27" s="79"/>
      <c r="I27" s="87"/>
      <c r="J27" s="87"/>
      <c r="K27" s="87"/>
    </row>
    <row r="28" spans="1:11" ht="13">
      <c r="A28" s="89" t="s">
        <v>101</v>
      </c>
      <c r="B28" s="59">
        <f>+B27+1</f>
        <v>20</v>
      </c>
      <c r="C28" s="67">
        <v>0</v>
      </c>
      <c r="D28" s="69" t="str">
        <f>+A28</f>
        <v>Consumables</v>
      </c>
      <c r="E28" s="90"/>
      <c r="F28" s="59" t="s">
        <v>102</v>
      </c>
      <c r="G28" s="59" t="s">
        <v>103</v>
      </c>
      <c r="H28" s="88"/>
      <c r="I28" s="88"/>
      <c r="J28" s="88"/>
      <c r="K28" s="88"/>
    </row>
    <row r="29" spans="1:11" ht="13">
      <c r="A29" s="91" t="s">
        <v>104</v>
      </c>
      <c r="B29" s="59">
        <f>+B28+1</f>
        <v>21</v>
      </c>
      <c r="C29" s="83">
        <f>45+106</f>
        <v>151</v>
      </c>
      <c r="D29" s="92" t="str">
        <f>+A29</f>
        <v>Pulmonary Function Tests</v>
      </c>
      <c r="E29" s="90"/>
      <c r="H29" s="88"/>
      <c r="I29" s="88"/>
      <c r="J29" s="88"/>
      <c r="K29" s="88"/>
    </row>
    <row r="30" spans="1:11">
      <c r="A30" s="91" t="s">
        <v>105</v>
      </c>
      <c r="B30" s="59">
        <f>+B29+1</f>
        <v>22</v>
      </c>
      <c r="C30" s="83">
        <f>F30/G30</f>
        <v>0.03555</v>
      </c>
      <c r="D30" s="92" t="str">
        <f>+A30</f>
        <v>Apron Polythene Unisex Disposable</v>
      </c>
      <c r="E30" s="93"/>
      <c r="F30" s="67">
        <v>7.11</v>
      </c>
      <c r="G30" s="59">
        <v>200</v>
      </c>
      <c r="H30" s="88"/>
      <c r="I30" s="88"/>
      <c r="J30" s="88"/>
      <c r="K30" s="88"/>
    </row>
    <row r="31" spans="1:11">
      <c r="A31" s="91" t="s">
        <v>106</v>
      </c>
      <c r="B31" s="59">
        <f>+B30+1</f>
        <v>23</v>
      </c>
      <c r="C31" s="83">
        <f>F31/G31</f>
        <v>0.43200000000000005</v>
      </c>
      <c r="D31" s="92" t="str">
        <f>+A31</f>
        <v>Mask face surgical fluidshield membrane</v>
      </c>
      <c r="E31" s="93"/>
      <c r="F31" s="67">
        <v>21.6</v>
      </c>
      <c r="G31" s="59">
        <v>50</v>
      </c>
      <c r="H31" s="88"/>
      <c r="I31" s="88"/>
      <c r="J31" s="88"/>
      <c r="K31" s="88"/>
    </row>
    <row r="32" spans="1:11">
      <c r="A32" s="91" t="s">
        <v>107</v>
      </c>
      <c r="B32" s="59">
        <f>+B31+1</f>
        <v>24</v>
      </c>
      <c r="C32" s="83">
        <f>F32/G32</f>
        <v>0.2552</v>
      </c>
      <c r="D32" s="92" t="str">
        <f>+A32</f>
        <v>Mask face surgical duckbill</v>
      </c>
      <c r="E32" s="93"/>
      <c r="F32" s="67">
        <v>12.76</v>
      </c>
      <c r="G32" s="59">
        <v>50</v>
      </c>
      <c r="H32" s="88"/>
      <c r="I32" s="88"/>
      <c r="J32" s="88"/>
      <c r="K32" s="88"/>
    </row>
    <row r="33" spans="1:11">
      <c r="A33" s="91" t="s">
        <v>108</v>
      </c>
      <c r="B33" s="59">
        <f>+B32+1</f>
        <v>25</v>
      </c>
      <c r="C33" s="83">
        <f>F33/G33</f>
        <v>0.26</v>
      </c>
      <c r="D33" s="92" t="str">
        <f>+A33</f>
        <v>Airway oropharyngeal size 000 - lilac</v>
      </c>
      <c r="E33" s="93" t="s">
        <v>109</v>
      </c>
      <c r="F33" s="67">
        <v>0.26</v>
      </c>
      <c r="G33" s="59">
        <v>1</v>
      </c>
      <c r="H33" s="88"/>
      <c r="I33" s="88"/>
      <c r="J33" s="88"/>
      <c r="K33" s="88"/>
    </row>
    <row r="34" spans="1:11">
      <c r="A34" s="91" t="s">
        <v>110</v>
      </c>
      <c r="B34" s="59">
        <f>+B33+1</f>
        <v>26</v>
      </c>
      <c r="C34" s="83">
        <f>F34/G34</f>
        <v>0.26</v>
      </c>
      <c r="D34" s="92" t="str">
        <f>+A34</f>
        <v>Airway oropharyngeal size 00 - blue</v>
      </c>
      <c r="E34" s="93" t="s">
        <v>111</v>
      </c>
      <c r="F34" s="67">
        <v>0.26</v>
      </c>
      <c r="G34" s="59">
        <v>1</v>
      </c>
      <c r="H34" s="88"/>
      <c r="I34" s="88"/>
      <c r="J34" s="88"/>
      <c r="K34" s="88"/>
    </row>
    <row r="35" spans="1:11">
      <c r="A35" s="91" t="s">
        <v>112</v>
      </c>
      <c r="B35" s="59">
        <f>+B34+1</f>
        <v>27</v>
      </c>
      <c r="C35" s="83">
        <f>F35/G35</f>
        <v>0.26</v>
      </c>
      <c r="D35" s="92" t="str">
        <f>+A35</f>
        <v>Airway oropharyngeal size 0 - grey</v>
      </c>
      <c r="E35" s="93" t="s">
        <v>113</v>
      </c>
      <c r="F35" s="67">
        <v>0.26</v>
      </c>
      <c r="G35" s="59">
        <v>1</v>
      </c>
      <c r="H35" s="88"/>
      <c r="I35" s="88"/>
      <c r="J35" s="88"/>
      <c r="K35" s="88"/>
    </row>
    <row r="36" spans="1:11">
      <c r="A36" s="91" t="s">
        <v>114</v>
      </c>
      <c r="B36" s="59">
        <f>+B35+1</f>
        <v>28</v>
      </c>
      <c r="C36" s="83">
        <f>F36/G36</f>
        <v>0.26</v>
      </c>
      <c r="D36" s="92" t="str">
        <f>+A36</f>
        <v>Airway oropharyngeal size 1 - white</v>
      </c>
      <c r="E36" s="93" t="s">
        <v>115</v>
      </c>
      <c r="F36" s="67">
        <v>0.26</v>
      </c>
      <c r="G36" s="59">
        <v>1</v>
      </c>
      <c r="H36" s="88"/>
      <c r="I36" s="88"/>
      <c r="J36" s="88"/>
      <c r="K36" s="88"/>
    </row>
    <row r="37" spans="1:11">
      <c r="A37" s="91" t="s">
        <v>116</v>
      </c>
      <c r="B37" s="59">
        <f>+B36+1</f>
        <v>29</v>
      </c>
      <c r="C37" s="83">
        <f>F37/G37</f>
        <v>0.24</v>
      </c>
      <c r="D37" s="92" t="str">
        <f>+A37</f>
        <v>Airway oropharyngeal size 2 - green</v>
      </c>
      <c r="E37" s="93" t="s">
        <v>117</v>
      </c>
      <c r="F37" s="67">
        <v>0.24</v>
      </c>
      <c r="G37" s="59">
        <v>1</v>
      </c>
      <c r="H37" s="88"/>
      <c r="I37" s="88"/>
      <c r="J37" s="88"/>
      <c r="K37" s="88"/>
    </row>
    <row r="38" spans="1:11">
      <c r="A38" s="91" t="s">
        <v>118</v>
      </c>
      <c r="B38" s="59">
        <f>+B37+1</f>
        <v>30</v>
      </c>
      <c r="C38" s="83">
        <f>F38/G38</f>
        <v>0.24</v>
      </c>
      <c r="D38" s="92" t="str">
        <f>+A38</f>
        <v>Airway oropharyngeal size 3 - orange</v>
      </c>
      <c r="E38" s="93" t="s">
        <v>119</v>
      </c>
      <c r="F38" s="67">
        <v>0.24</v>
      </c>
      <c r="G38" s="59">
        <v>1</v>
      </c>
      <c r="H38" s="88"/>
      <c r="I38" s="88"/>
      <c r="J38" s="88"/>
      <c r="K38" s="88"/>
    </row>
    <row r="39" spans="1:11">
      <c r="A39" s="91" t="s">
        <v>120</v>
      </c>
      <c r="B39" s="59">
        <f>+B38+1</f>
        <v>31</v>
      </c>
      <c r="C39" s="83">
        <f>F39/G39</f>
        <v>0.24</v>
      </c>
      <c r="D39" s="92" t="str">
        <f>+A39</f>
        <v>Airway oropharyngeal size 4 - red</v>
      </c>
      <c r="E39" s="93" t="s">
        <v>121</v>
      </c>
      <c r="F39" s="67">
        <v>0.24</v>
      </c>
      <c r="G39" s="59">
        <v>1</v>
      </c>
      <c r="H39" s="88"/>
      <c r="I39" s="88"/>
      <c r="J39" s="88"/>
      <c r="K39" s="88"/>
    </row>
    <row r="40" spans="1:11">
      <c r="A40" s="91" t="s">
        <v>122</v>
      </c>
      <c r="B40" s="59">
        <f>+B39+1</f>
        <v>32</v>
      </c>
      <c r="C40" s="83">
        <f>F40/G40</f>
        <v>0.71</v>
      </c>
      <c r="D40" s="92" t="str">
        <f>+A40</f>
        <v>nasal cannula - paediatric</v>
      </c>
      <c r="E40" s="93" t="s">
        <v>123</v>
      </c>
      <c r="F40" s="67">
        <v>0.71</v>
      </c>
      <c r="G40" s="59">
        <v>1</v>
      </c>
      <c r="H40" s="88"/>
      <c r="I40" s="88"/>
      <c r="J40" s="88"/>
      <c r="K40" s="88"/>
    </row>
    <row r="41" spans="1:11">
      <c r="A41" s="91" t="s">
        <v>124</v>
      </c>
      <c r="B41" s="59">
        <f>+B40+1</f>
        <v>33</v>
      </c>
      <c r="C41" s="83">
        <f>F41/G41</f>
        <v>0.36</v>
      </c>
      <c r="D41" s="92" t="str">
        <f>+A41</f>
        <v>nasal cannula - adult</v>
      </c>
      <c r="E41" s="93" t="s">
        <v>125</v>
      </c>
      <c r="F41" s="67">
        <v>0.36</v>
      </c>
      <c r="G41" s="59">
        <v>1</v>
      </c>
      <c r="H41" s="88"/>
      <c r="I41" s="88"/>
      <c r="J41" s="88"/>
      <c r="K41" s="88"/>
    </row>
    <row r="42" spans="1:11">
      <c r="A42" s="91" t="s">
        <v>126</v>
      </c>
      <c r="B42" s="59">
        <f>+B41+1</f>
        <v>34</v>
      </c>
      <c r="C42" s="83">
        <f>F42/G42</f>
        <v>0.53</v>
      </c>
      <c r="D42" s="92" t="str">
        <f>+A42</f>
        <v>facemask aerosol - paediatric</v>
      </c>
      <c r="E42" s="93" t="s">
        <v>127</v>
      </c>
      <c r="F42" s="67">
        <v>0.53</v>
      </c>
      <c r="G42" s="59">
        <v>1</v>
      </c>
      <c r="H42" s="88"/>
      <c r="I42" s="88"/>
      <c r="J42" s="88"/>
      <c r="K42" s="88"/>
    </row>
    <row r="43" spans="1:11">
      <c r="A43" s="91" t="s">
        <v>128</v>
      </c>
      <c r="B43" s="59">
        <f>+B42+1</f>
        <v>35</v>
      </c>
      <c r="C43" s="83">
        <f>F43/G43</f>
        <v>0.33</v>
      </c>
      <c r="D43" s="92" t="str">
        <f>+A43</f>
        <v>facemask aerosol - adult with nebuliser connector</v>
      </c>
      <c r="E43" s="93" t="s">
        <v>129</v>
      </c>
      <c r="F43" s="67">
        <v>0.33</v>
      </c>
      <c r="G43" s="59">
        <v>1</v>
      </c>
      <c r="H43" s="88"/>
      <c r="I43" s="88"/>
      <c r="J43" s="88"/>
      <c r="K43" s="88"/>
    </row>
    <row r="44" spans="1:11">
      <c r="A44" s="91" t="s">
        <v>130</v>
      </c>
      <c r="B44" s="59">
        <f>+B43+1</f>
        <v>36</v>
      </c>
      <c r="C44" s="83">
        <f>F44/G44</f>
        <v>0.88</v>
      </c>
      <c r="D44" s="92" t="str">
        <f>+A44</f>
        <v>facemask aerosol - adult non rebreathing</v>
      </c>
      <c r="E44" s="93" t="s">
        <v>131</v>
      </c>
      <c r="F44" s="67">
        <v>0.88</v>
      </c>
      <c r="G44" s="59">
        <v>1</v>
      </c>
      <c r="H44" s="88"/>
      <c r="I44" s="88"/>
      <c r="J44" s="88"/>
      <c r="K44" s="88"/>
    </row>
    <row r="45" spans="1:11">
      <c r="A45" s="91" t="s">
        <v>132</v>
      </c>
      <c r="B45" s="59">
        <f>+B44+1</f>
        <v>37</v>
      </c>
      <c r="C45" s="83">
        <f>F45/G45</f>
        <v>0.79</v>
      </c>
      <c r="D45" s="92" t="str">
        <f>+A45</f>
        <v>facemask single use - paediatric</v>
      </c>
      <c r="E45" s="93" t="s">
        <v>133</v>
      </c>
      <c r="F45" s="67">
        <v>0.79</v>
      </c>
      <c r="G45" s="59">
        <v>1</v>
      </c>
      <c r="H45" s="88"/>
      <c r="I45" s="88"/>
      <c r="J45" s="88"/>
      <c r="K45" s="88"/>
    </row>
    <row r="46" spans="1:11">
      <c r="A46" s="91" t="s">
        <v>134</v>
      </c>
      <c r="B46" s="59">
        <f>+B45+1</f>
        <v>38</v>
      </c>
      <c r="C46" s="83">
        <f>F46/G46</f>
        <v>0.36</v>
      </c>
      <c r="D46" s="92" t="str">
        <f>+A46</f>
        <v>facemask oxygen med conc - paediatric</v>
      </c>
      <c r="E46" s="93" t="s">
        <v>135</v>
      </c>
      <c r="F46" s="67">
        <v>0.36</v>
      </c>
      <c r="G46" s="59">
        <v>1</v>
      </c>
      <c r="H46" s="88"/>
      <c r="I46" s="88"/>
      <c r="J46" s="88"/>
      <c r="K46" s="88"/>
    </row>
    <row r="47" spans="1:11">
      <c r="A47" s="91" t="s">
        <v>136</v>
      </c>
      <c r="B47" s="59">
        <f>+B46+1</f>
        <v>39</v>
      </c>
      <c r="C47" s="83">
        <f>F47/G47</f>
        <v>0.27</v>
      </c>
      <c r="D47" s="92" t="str">
        <f>+A47</f>
        <v>facemask oxygen med conc - adult</v>
      </c>
      <c r="E47" s="93" t="s">
        <v>137</v>
      </c>
      <c r="F47" s="67">
        <v>0.27</v>
      </c>
      <c r="G47" s="59">
        <v>1</v>
      </c>
      <c r="H47" s="88"/>
      <c r="I47" s="88"/>
      <c r="J47" s="88"/>
      <c r="K47" s="88"/>
    </row>
    <row r="48" spans="1:11">
      <c r="A48" s="91" t="s">
        <v>138</v>
      </c>
      <c r="B48" s="59">
        <f>+B47+1</f>
        <v>40</v>
      </c>
      <c r="C48" s="83">
        <f>F48/G48</f>
        <v>1.14</v>
      </c>
      <c r="D48" s="92" t="str">
        <f>+A48</f>
        <v>catheter mount for suction catheteres</v>
      </c>
      <c r="E48" s="93" t="s">
        <v>139</v>
      </c>
      <c r="F48" s="67">
        <v>1.14</v>
      </c>
      <c r="G48" s="59">
        <v>1</v>
      </c>
      <c r="H48" s="88"/>
      <c r="I48" s="88"/>
      <c r="J48" s="88"/>
      <c r="K48" s="88"/>
    </row>
    <row r="49" spans="1:11">
      <c r="A49" s="91" t="s">
        <v>140</v>
      </c>
      <c r="B49" s="59">
        <f>+B48+1</f>
        <v>41</v>
      </c>
      <c r="C49" s="83">
        <f>F49/G49</f>
        <v>0.0361</v>
      </c>
      <c r="D49" s="92" t="str">
        <f>+A49</f>
        <v>Peak Flow Meter mouthpiece</v>
      </c>
      <c r="E49" s="93" t="s">
        <v>141</v>
      </c>
      <c r="F49" s="67">
        <v>18.05</v>
      </c>
      <c r="G49" s="59">
        <v>500</v>
      </c>
      <c r="H49" s="88"/>
      <c r="I49" s="88"/>
      <c r="J49" s="88"/>
      <c r="K49" s="88"/>
    </row>
    <row r="50" spans="1:11">
      <c r="A50" s="91" t="s">
        <v>142</v>
      </c>
      <c r="B50" s="59">
        <f>+B49+1</f>
        <v>42</v>
      </c>
      <c r="C50" s="83">
        <f>F50/G50</f>
        <v>0.02618</v>
      </c>
      <c r="D50" s="92" t="str">
        <f>+A50</f>
        <v>Peak Flow Meter mouthpiece single use - adult</v>
      </c>
      <c r="E50" s="93" t="s">
        <v>143</v>
      </c>
      <c r="F50" s="67">
        <v>13.09</v>
      </c>
      <c r="G50" s="59">
        <v>500</v>
      </c>
      <c r="H50" s="88"/>
      <c r="I50" s="88"/>
      <c r="J50" s="88"/>
      <c r="K50" s="88"/>
    </row>
    <row r="51" spans="1:11">
      <c r="A51" s="91" t="s">
        <v>144</v>
      </c>
      <c r="B51" s="59">
        <f>+B50+1</f>
        <v>43</v>
      </c>
      <c r="C51" s="83">
        <f>F51/G51</f>
        <v>1.23</v>
      </c>
      <c r="D51" s="92" t="str">
        <f>+A51</f>
        <v>Tracheal Tube sterile/siliconised (var sizes)</v>
      </c>
      <c r="E51" s="93" t="s">
        <v>145</v>
      </c>
      <c r="F51" s="67">
        <v>1.23</v>
      </c>
      <c r="G51" s="59">
        <v>1</v>
      </c>
      <c r="H51" s="88"/>
      <c r="I51" s="88"/>
      <c r="J51" s="88"/>
      <c r="K51" s="88"/>
    </row>
    <row r="52" spans="1:11">
      <c r="A52" s="91" t="s">
        <v>146</v>
      </c>
      <c r="B52" s="59">
        <f>+B51+1</f>
        <v>44</v>
      </c>
      <c r="C52" s="83">
        <f>F52/G52</f>
        <v>1.3</v>
      </c>
      <c r="D52" s="92" t="str">
        <f>+A52</f>
        <v>Tracheal Tube murphy eye sterile (var sizes)</v>
      </c>
      <c r="E52" s="93" t="s">
        <v>147</v>
      </c>
      <c r="F52" s="67">
        <v>1.3</v>
      </c>
      <c r="G52" s="59">
        <v>1</v>
      </c>
      <c r="H52" s="88"/>
      <c r="I52" s="88"/>
      <c r="J52" s="88"/>
      <c r="K52" s="88"/>
    </row>
    <row r="53" spans="1:11">
      <c r="A53" s="91" t="s">
        <v>148</v>
      </c>
      <c r="B53" s="59">
        <f>+B52+1</f>
        <v>45</v>
      </c>
      <c r="C53" s="83">
        <f>F53/G53</f>
        <v>1.0292000000000001</v>
      </c>
      <c r="D53" s="92" t="str">
        <f>+A53</f>
        <v>Mucus extractor/collector 20ml without catheter</v>
      </c>
      <c r="E53" s="93" t="s">
        <v>149</v>
      </c>
      <c r="F53" s="67">
        <v>51.46</v>
      </c>
      <c r="G53" s="59">
        <v>50</v>
      </c>
      <c r="H53" s="88"/>
      <c r="I53" s="88"/>
      <c r="J53" s="88"/>
      <c r="K53" s="88"/>
    </row>
    <row r="54" spans="1:11">
      <c r="A54" s="91" t="s">
        <v>150</v>
      </c>
      <c r="B54" s="59">
        <f>+B53+1</f>
        <v>46</v>
      </c>
      <c r="C54" s="83">
        <f>F54/G54</f>
        <v>4.079</v>
      </c>
      <c r="D54" s="92" t="str">
        <f>+A54</f>
        <v>Mucus extractor/collector with brochoscopy adaptor</v>
      </c>
      <c r="E54" s="93" t="s">
        <v>151</v>
      </c>
      <c r="F54" s="67">
        <v>81.58</v>
      </c>
      <c r="G54" s="59">
        <v>20</v>
      </c>
      <c r="H54" s="88"/>
      <c r="I54" s="88"/>
      <c r="J54" s="88"/>
      <c r="K54" s="88"/>
    </row>
    <row r="55" spans="1:11">
      <c r="A55" s="91" t="s">
        <v>152</v>
      </c>
      <c r="B55" s="59">
        <f>+B54+1</f>
        <v>47</v>
      </c>
      <c r="C55" s="83">
        <f>F55/G55</f>
        <v>0.3986</v>
      </c>
      <c r="D55" s="92" t="str">
        <f>+A55</f>
        <v>Tourniquet latex free blood collection</v>
      </c>
      <c r="E55" s="93" t="s">
        <v>153</v>
      </c>
      <c r="F55" s="67">
        <v>39.86</v>
      </c>
      <c r="G55" s="59">
        <v>100</v>
      </c>
      <c r="H55" s="88"/>
      <c r="I55" s="88"/>
      <c r="J55" s="88"/>
      <c r="K55" s="88"/>
    </row>
    <row r="56" spans="1:11">
      <c r="A56" s="91" t="s">
        <v>154</v>
      </c>
      <c r="B56" s="59">
        <f>+B55+1</f>
        <v>48</v>
      </c>
      <c r="C56" s="83">
        <f>F56/G56</f>
        <v>0.4472</v>
      </c>
      <c r="D56" s="92" t="str">
        <f>+A56</f>
        <v>Blood collection set 21g &amp; 23g</v>
      </c>
      <c r="E56" s="93" t="s">
        <v>155</v>
      </c>
      <c r="F56" s="67">
        <v>22.36</v>
      </c>
      <c r="G56" s="59">
        <v>50</v>
      </c>
      <c r="H56" s="88"/>
      <c r="I56" s="88"/>
      <c r="J56" s="88"/>
      <c r="K56" s="88"/>
    </row>
    <row r="57" spans="1:11">
      <c r="A57" s="91" t="s">
        <v>156</v>
      </c>
      <c r="B57" s="59">
        <f>+B56+1</f>
        <v>49</v>
      </c>
      <c r="C57" s="67">
        <v>1.95</v>
      </c>
      <c r="D57" s="92" t="str">
        <f>+A57</f>
        <v>Total equipment cost for single blood visit</v>
      </c>
      <c r="E57" s="93"/>
      <c r="F57" s="67"/>
      <c r="H57" s="88"/>
      <c r="I57" s="88"/>
      <c r="J57" s="88"/>
      <c r="K57" s="88"/>
    </row>
    <row r="58" spans="1:11">
      <c r="A58" s="91" t="s">
        <v>157</v>
      </c>
      <c r="B58" s="59">
        <f>+B57+1</f>
        <v>50</v>
      </c>
      <c r="C58" s="67">
        <v>0.19</v>
      </c>
      <c r="D58" s="92" t="str">
        <f>+A58</f>
        <v>Total cost for vaccination equipment per vaccine </v>
      </c>
      <c r="E58" s="93"/>
      <c r="F58" s="67"/>
      <c r="H58" s="88"/>
      <c r="I58" s="88"/>
      <c r="J58" s="88"/>
      <c r="K58" s="88"/>
    </row>
    <row r="59" spans="1:11">
      <c r="A59" s="91" t="s">
        <v>158</v>
      </c>
      <c r="B59" s="59">
        <f>+B58+1</f>
        <v>51</v>
      </c>
      <c r="C59" s="83">
        <f>F59/G59</f>
        <v>0.0161</v>
      </c>
      <c r="D59" s="92" t="str">
        <f>+A59</f>
        <v>Needles (pr Box)</v>
      </c>
      <c r="E59" s="91"/>
      <c r="F59" s="59">
        <v>1.61</v>
      </c>
      <c r="G59" s="59">
        <v>100</v>
      </c>
      <c r="H59" s="88"/>
      <c r="I59" s="88"/>
      <c r="J59" s="88"/>
      <c r="K59" s="88"/>
    </row>
    <row r="60" spans="1:11">
      <c r="A60" s="91" t="s">
        <v>159</v>
      </c>
      <c r="B60" s="59">
        <f>+B59+1</f>
        <v>52</v>
      </c>
      <c r="C60" s="94">
        <v>0.02</v>
      </c>
      <c r="D60" s="92" t="str">
        <f>+A60</f>
        <v>Blue Needles</v>
      </c>
      <c r="E60" s="91"/>
      <c r="H60" s="88"/>
      <c r="I60" s="88"/>
      <c r="J60" s="88"/>
      <c r="K60" s="88"/>
    </row>
    <row r="61" spans="1:11">
      <c r="A61" s="91" t="s">
        <v>160</v>
      </c>
      <c r="B61" s="59">
        <f>+B60+1</f>
        <v>53</v>
      </c>
      <c r="C61" s="94">
        <v>0.02</v>
      </c>
      <c r="D61" s="92" t="str">
        <f>+A61</f>
        <v>Green Needles</v>
      </c>
      <c r="E61" s="91"/>
      <c r="H61" s="88"/>
      <c r="I61" s="88"/>
      <c r="J61" s="88"/>
      <c r="K61" s="88"/>
    </row>
    <row r="62" spans="1:12">
      <c r="A62" s="91" t="s">
        <v>161</v>
      </c>
      <c r="B62" s="59">
        <f>+B61+1</f>
        <v>54</v>
      </c>
      <c r="C62" s="83">
        <f>F62/G62</f>
        <v>0.0398</v>
      </c>
      <c r="D62" s="92" t="str">
        <f>+A62</f>
        <v>Mepopore tape (60 rolls)</v>
      </c>
      <c r="E62" s="91"/>
      <c r="F62" s="59">
        <v>3.98</v>
      </c>
      <c r="G62" s="59">
        <v>100</v>
      </c>
      <c r="I62" s="88"/>
      <c r="J62" s="88"/>
      <c r="K62" s="88"/>
      <c r="L62" s="88"/>
    </row>
    <row r="63" spans="1:12">
      <c r="A63" s="91" t="s">
        <v>162</v>
      </c>
      <c r="B63" s="59">
        <f>+B62+1</f>
        <v>55</v>
      </c>
      <c r="C63" s="83">
        <f>F63/G63</f>
        <v>0.0278</v>
      </c>
      <c r="D63" s="92" t="str">
        <f>+A63</f>
        <v>Plasters (Pack 100)</v>
      </c>
      <c r="E63" s="91"/>
      <c r="F63" s="59">
        <v>2.78</v>
      </c>
      <c r="G63" s="59">
        <v>100</v>
      </c>
      <c r="H63" s="82"/>
      <c r="I63" s="88"/>
      <c r="J63" s="88"/>
      <c r="K63" s="95"/>
      <c r="L63" s="88"/>
    </row>
    <row r="64" spans="1:12">
      <c r="A64" s="91" t="s">
        <v>163</v>
      </c>
      <c r="B64" s="59">
        <f>+B63+1</f>
        <v>56</v>
      </c>
      <c r="C64" s="94">
        <v>0.01</v>
      </c>
      <c r="D64" s="92" t="str">
        <f>+A64</f>
        <v>Spot plasters</v>
      </c>
      <c r="E64" s="91"/>
      <c r="H64" s="82"/>
      <c r="I64" s="88"/>
      <c r="J64" s="88"/>
      <c r="K64" s="95"/>
      <c r="L64" s="88"/>
    </row>
    <row r="65" spans="1:12">
      <c r="A65" s="91" t="s">
        <v>164</v>
      </c>
      <c r="B65" s="59">
        <f>+B64+1</f>
        <v>57</v>
      </c>
      <c r="C65" s="94">
        <v>0.22</v>
      </c>
      <c r="D65" s="92" t="str">
        <f>+A65</f>
        <v>tagaderm dressings</v>
      </c>
      <c r="E65" s="91"/>
      <c r="H65" s="82"/>
      <c r="I65" s="88"/>
      <c r="J65" s="88"/>
      <c r="K65" s="95"/>
      <c r="L65" s="88"/>
    </row>
    <row r="66" spans="1:8">
      <c r="A66" s="91" t="s">
        <v>165</v>
      </c>
      <c r="B66" s="59">
        <f>+B65+1</f>
        <v>58</v>
      </c>
      <c r="C66" s="94">
        <f>F66/G66</f>
        <v>0.0096</v>
      </c>
      <c r="D66" s="92" t="str">
        <f>+A66</f>
        <v>Sterets(pack 100)</v>
      </c>
      <c r="E66" s="91"/>
      <c r="F66" s="59">
        <v>0.96</v>
      </c>
      <c r="G66" s="59">
        <v>100</v>
      </c>
      <c r="H66" s="82"/>
    </row>
    <row r="67" spans="1:8">
      <c r="A67" s="91" t="s">
        <v>166</v>
      </c>
      <c r="B67" s="59">
        <f>+B66+1</f>
        <v>59</v>
      </c>
      <c r="C67" s="94">
        <v>0.03</v>
      </c>
      <c r="D67" s="92" t="str">
        <f>+A67</f>
        <v>Syringes - 2ml  each</v>
      </c>
      <c r="E67" s="91"/>
      <c r="H67" s="82"/>
    </row>
    <row r="68" spans="1:8">
      <c r="A68" s="91" t="s">
        <v>167</v>
      </c>
      <c r="B68" s="59">
        <f>+B67+1</f>
        <v>60</v>
      </c>
      <c r="C68" s="83">
        <f>F68/G68</f>
        <v>0.0415</v>
      </c>
      <c r="D68" s="92" t="str">
        <f>+A68</f>
        <v>Syringes - 5ml  (100)</v>
      </c>
      <c r="E68" s="91"/>
      <c r="F68" s="59">
        <v>4.15</v>
      </c>
      <c r="G68" s="59">
        <v>100</v>
      </c>
      <c r="H68" s="82"/>
    </row>
    <row r="69" spans="1:8">
      <c r="A69" s="91" t="s">
        <v>168</v>
      </c>
      <c r="B69" s="59">
        <f>+B68+1</f>
        <v>61</v>
      </c>
      <c r="C69" s="83">
        <f>F69/G69</f>
        <v>0.0584</v>
      </c>
      <c r="D69" s="92" t="str">
        <f>+A69</f>
        <v>Syringes - 10ml  (100)</v>
      </c>
      <c r="E69" s="91"/>
      <c r="F69" s="59">
        <v>5.84</v>
      </c>
      <c r="G69" s="59">
        <v>100</v>
      </c>
      <c r="H69" s="82"/>
    </row>
    <row r="70" spans="1:8">
      <c r="A70" s="91" t="s">
        <v>169</v>
      </c>
      <c r="B70" s="59">
        <f>+B69+1</f>
        <v>62</v>
      </c>
      <c r="C70" s="83">
        <f>F70/G70</f>
        <v>0.1121</v>
      </c>
      <c r="D70" s="92" t="str">
        <f>+A70</f>
        <v>Syringes - 20ml  (100)</v>
      </c>
      <c r="E70" s="91"/>
      <c r="F70" s="59">
        <v>11.21</v>
      </c>
      <c r="G70" s="59">
        <v>100</v>
      </c>
      <c r="H70" s="82"/>
    </row>
    <row r="71" spans="1:8">
      <c r="A71" s="91" t="s">
        <v>170</v>
      </c>
      <c r="B71" s="59">
        <f>+B70+1</f>
        <v>63</v>
      </c>
      <c r="C71" s="67">
        <v>0.74</v>
      </c>
      <c r="D71" s="92" t="str">
        <f>+A71</f>
        <v>Venflons blue</v>
      </c>
      <c r="E71" s="91"/>
      <c r="H71" s="82"/>
    </row>
    <row r="72" spans="1:8">
      <c r="A72" s="91" t="s">
        <v>171</v>
      </c>
      <c r="B72" s="59">
        <f>+B71+1</f>
        <v>64</v>
      </c>
      <c r="C72" s="67">
        <v>0.74</v>
      </c>
      <c r="D72" s="92" t="str">
        <f>+A72</f>
        <v>Venflons green</v>
      </c>
      <c r="E72" s="91"/>
      <c r="H72" s="82"/>
    </row>
    <row r="73" spans="1:8">
      <c r="A73" s="91" t="s">
        <v>172</v>
      </c>
      <c r="B73" s="59">
        <f>+B72+1</f>
        <v>65</v>
      </c>
      <c r="C73" s="67">
        <v>0.01</v>
      </c>
      <c r="D73" s="92" t="str">
        <f>+A73</f>
        <v>cotton wool balls</v>
      </c>
      <c r="E73" s="91"/>
      <c r="H73" s="82"/>
    </row>
    <row r="74" spans="1:8">
      <c r="A74" s="91" t="s">
        <v>173</v>
      </c>
      <c r="B74" s="59">
        <f>+B73+1</f>
        <v>66</v>
      </c>
      <c r="C74" s="67">
        <v>3.74</v>
      </c>
      <c r="D74" s="92" t="str">
        <f>+A74</f>
        <v>Instrument tray</v>
      </c>
      <c r="E74" s="91"/>
      <c r="H74" s="82"/>
    </row>
    <row r="75" spans="1:8">
      <c r="A75" s="91" t="s">
        <v>174</v>
      </c>
      <c r="B75" s="59">
        <f>+B74+1</f>
        <v>67</v>
      </c>
      <c r="C75" s="67">
        <v>0.77</v>
      </c>
      <c r="D75" s="92" t="str">
        <f>+A75</f>
        <v>liquid handwash</v>
      </c>
      <c r="E75" s="91"/>
      <c r="H75" s="82"/>
    </row>
    <row r="76" spans="1:8">
      <c r="A76" s="91" t="s">
        <v>175</v>
      </c>
      <c r="B76" s="59">
        <f>+B75+1</f>
        <v>68</v>
      </c>
      <c r="C76" s="67">
        <v>0.01</v>
      </c>
      <c r="D76" s="92" t="str">
        <f>+A76</f>
        <v>Cleaning wipes</v>
      </c>
      <c r="E76" s="91"/>
      <c r="H76" s="82"/>
    </row>
    <row r="77" spans="1:8">
      <c r="A77" s="91" t="s">
        <v>176</v>
      </c>
      <c r="B77" s="59">
        <f>+B76+1</f>
        <v>69</v>
      </c>
      <c r="C77" s="67">
        <v>0.19</v>
      </c>
      <c r="D77" s="92" t="str">
        <f>+A77</f>
        <v>Blue butterflies</v>
      </c>
      <c r="E77" s="91"/>
      <c r="H77" s="82"/>
    </row>
    <row r="78" spans="1:8">
      <c r="A78" s="91" t="s">
        <v>177</v>
      </c>
      <c r="B78" s="59">
        <f>+B77+1</f>
        <v>70</v>
      </c>
      <c r="C78" s="67">
        <v>0.24</v>
      </c>
      <c r="D78" s="92" t="str">
        <f>+A78</f>
        <v>Green butterflies</v>
      </c>
      <c r="E78" s="91"/>
      <c r="H78" s="82"/>
    </row>
    <row r="79" spans="1:8">
      <c r="A79" s="91" t="s">
        <v>178</v>
      </c>
      <c r="B79" s="59">
        <f>+B78+1</f>
        <v>71</v>
      </c>
      <c r="C79" s="83">
        <f>F79/G79</f>
        <v>5.1505</v>
      </c>
      <c r="D79" s="92" t="str">
        <f>+A79</f>
        <v>Burrette giving set (box 20)</v>
      </c>
      <c r="E79" s="91"/>
      <c r="F79" s="59">
        <v>103.01</v>
      </c>
      <c r="G79" s="59">
        <v>20</v>
      </c>
      <c r="H79" s="82"/>
    </row>
    <row r="80" spans="1:8">
      <c r="A80" s="91" t="s">
        <v>179</v>
      </c>
      <c r="B80" s="59">
        <f>+B79+1</f>
        <v>72</v>
      </c>
      <c r="C80" s="83">
        <v>0.1</v>
      </c>
      <c r="D80" s="92" t="str">
        <f>+A80</f>
        <v>blood bottle (Vacutainer)</v>
      </c>
      <c r="E80" s="91"/>
      <c r="H80" s="82"/>
    </row>
    <row r="81" spans="1:8">
      <c r="A81" s="91" t="s">
        <v>180</v>
      </c>
      <c r="B81" s="59">
        <f>+B80+1</f>
        <v>73</v>
      </c>
      <c r="C81" s="83">
        <f>F81/G81</f>
        <v>4.0036666666666667</v>
      </c>
      <c r="D81" s="92" t="str">
        <f>+A81</f>
        <v>Blood giving set (box 60)</v>
      </c>
      <c r="E81" s="91"/>
      <c r="F81" s="59">
        <v>240.22</v>
      </c>
      <c r="G81" s="59">
        <v>60</v>
      </c>
      <c r="H81" s="79"/>
    </row>
    <row r="82" spans="1:8">
      <c r="A82" s="91" t="s">
        <v>181</v>
      </c>
      <c r="B82" s="59">
        <f>+B81+1</f>
        <v>74</v>
      </c>
      <c r="C82" s="83">
        <f>F82/G82</f>
        <v>3.5912</v>
      </c>
      <c r="D82" s="92" t="str">
        <f>+A82</f>
        <v>Specimen giving sets (box 100)</v>
      </c>
      <c r="E82" s="91"/>
      <c r="F82" s="59">
        <v>359.12</v>
      </c>
      <c r="G82" s="59">
        <v>100</v>
      </c>
      <c r="H82" s="79"/>
    </row>
    <row r="83" spans="1:8">
      <c r="A83" s="91" t="s">
        <v>182</v>
      </c>
      <c r="B83" s="59">
        <f>+B82+1</f>
        <v>75</v>
      </c>
      <c r="C83" s="67">
        <v>0.58</v>
      </c>
      <c r="D83" s="92" t="str">
        <f>+A83</f>
        <v>Suction tubing</v>
      </c>
      <c r="E83" s="91"/>
      <c r="H83" s="79"/>
    </row>
    <row r="84" spans="1:8">
      <c r="A84" s="91" t="s">
        <v>183</v>
      </c>
      <c r="B84" s="59">
        <f>+B83+1</f>
        <v>76</v>
      </c>
      <c r="C84" s="67">
        <v>2.33</v>
      </c>
      <c r="D84" s="92" t="str">
        <f>+A84</f>
        <v>Oxygen tubing</v>
      </c>
      <c r="E84" s="91"/>
      <c r="H84" s="79"/>
    </row>
    <row r="85" spans="1:8">
      <c r="A85" s="91" t="s">
        <v>184</v>
      </c>
      <c r="B85" s="59">
        <f>+B84+1</f>
        <v>77</v>
      </c>
      <c r="C85" s="67">
        <v>0.86</v>
      </c>
      <c r="D85" s="92" t="str">
        <f>+A85</f>
        <v>Bandages 5cm</v>
      </c>
      <c r="E85" s="91"/>
      <c r="H85" s="79"/>
    </row>
    <row r="86" spans="1:8">
      <c r="A86" s="91" t="s">
        <v>185</v>
      </c>
      <c r="B86" s="59">
        <f>+B85+1</f>
        <v>78</v>
      </c>
      <c r="C86" s="67">
        <v>0.05</v>
      </c>
      <c r="D86" s="92" t="str">
        <f>+A86</f>
        <v>pair of gloves</v>
      </c>
      <c r="E86" s="91"/>
      <c r="H86" s="79"/>
    </row>
    <row r="87" spans="1:8">
      <c r="A87" s="91" t="s">
        <v>186</v>
      </c>
      <c r="B87" s="59">
        <f>+B86+1</f>
        <v>79</v>
      </c>
      <c r="C87" s="83">
        <f>F87/G87</f>
        <v>0.024700000000000003</v>
      </c>
      <c r="D87" s="92" t="str">
        <f>+A87</f>
        <v>Gloves non sterile (box 100)</v>
      </c>
      <c r="E87" s="91"/>
      <c r="F87" s="59">
        <v>2.47</v>
      </c>
      <c r="G87" s="59">
        <v>100</v>
      </c>
      <c r="H87" s="79"/>
    </row>
    <row r="88" spans="1:8">
      <c r="A88" s="91" t="s">
        <v>187</v>
      </c>
      <c r="B88" s="59">
        <f>+B87+1</f>
        <v>80</v>
      </c>
      <c r="C88" s="83">
        <f>F88/G88</f>
        <v>0.16219999999999998</v>
      </c>
      <c r="D88" s="92" t="str">
        <f>+A88</f>
        <v>Gloves sterile (box 50)</v>
      </c>
      <c r="E88" s="91"/>
      <c r="F88" s="59">
        <v>8.11</v>
      </c>
      <c r="G88" s="59">
        <v>50</v>
      </c>
      <c r="H88" s="79"/>
    </row>
    <row r="89" spans="1:8">
      <c r="A89" s="91" t="s">
        <v>188</v>
      </c>
      <c r="B89" s="59">
        <f>+B88+1</f>
        <v>81</v>
      </c>
      <c r="C89" s="83">
        <v>0.03</v>
      </c>
      <c r="D89" s="92" t="str">
        <f>+A89</f>
        <v>Yellow rubbish bags</v>
      </c>
      <c r="E89" s="91"/>
      <c r="H89" s="79"/>
    </row>
    <row r="90" spans="1:8">
      <c r="A90" s="91" t="s">
        <v>189</v>
      </c>
      <c r="B90" s="59">
        <f>+B89+1</f>
        <v>82</v>
      </c>
      <c r="C90" s="83">
        <f>F90/G90</f>
        <v>0.0723</v>
      </c>
      <c r="D90" s="92" t="str">
        <f>+A90</f>
        <v>Namebands - Child (pack 100)</v>
      </c>
      <c r="E90" s="91"/>
      <c r="F90" s="59">
        <v>7.23</v>
      </c>
      <c r="G90" s="59">
        <v>100</v>
      </c>
      <c r="H90" s="79"/>
    </row>
    <row r="91" spans="1:8">
      <c r="A91" s="91" t="s">
        <v>190</v>
      </c>
      <c r="B91" s="59">
        <f>+B90+1</f>
        <v>83</v>
      </c>
      <c r="C91" s="83">
        <f>F91/G91</f>
        <v>0.0697</v>
      </c>
      <c r="D91" s="92" t="str">
        <f>+A91</f>
        <v>Namebands - Adult (pack 100)</v>
      </c>
      <c r="E91" s="91"/>
      <c r="F91" s="59">
        <v>6.97</v>
      </c>
      <c r="G91" s="59">
        <v>100</v>
      </c>
      <c r="H91" s="79"/>
    </row>
    <row r="92" spans="1:8">
      <c r="A92" s="91" t="s">
        <v>191</v>
      </c>
      <c r="B92" s="59">
        <f>+B91+1</f>
        <v>84</v>
      </c>
      <c r="C92" s="83">
        <f>F92/G92</f>
        <v>0.1377</v>
      </c>
      <c r="D92" s="92" t="str">
        <f>+A92</f>
        <v>Oral Syringes - 5ml (box 100)</v>
      </c>
      <c r="E92" s="91"/>
      <c r="F92" s="59">
        <v>13.77</v>
      </c>
      <c r="G92" s="59">
        <v>100</v>
      </c>
      <c r="H92" s="79"/>
    </row>
    <row r="93" spans="1:8">
      <c r="A93" s="91" t="s">
        <v>192</v>
      </c>
      <c r="B93" s="59">
        <f>+B92+1</f>
        <v>85</v>
      </c>
      <c r="C93" s="83">
        <f>F93/G93</f>
        <v>0.1492</v>
      </c>
      <c r="D93" s="92" t="str">
        <f>+A93</f>
        <v>Oral Syringes - 10ml (box 100)</v>
      </c>
      <c r="E93" s="91"/>
      <c r="F93" s="59">
        <v>14.92</v>
      </c>
      <c r="G93" s="59">
        <v>100</v>
      </c>
      <c r="H93" s="79"/>
    </row>
    <row r="94" spans="1:7">
      <c r="A94" s="91" t="s">
        <v>193</v>
      </c>
      <c r="B94" s="59">
        <f>+B93+1</f>
        <v>86</v>
      </c>
      <c r="C94" s="83">
        <f>F94/G94</f>
        <v>0.0246</v>
      </c>
      <c r="D94" s="92" t="str">
        <f>+A94</f>
        <v>Plastic Aprons (roll 200)</v>
      </c>
      <c r="E94" s="91"/>
      <c r="F94" s="59">
        <v>4.92</v>
      </c>
      <c r="G94" s="59">
        <v>200</v>
      </c>
    </row>
    <row r="95" spans="1:8">
      <c r="A95" s="91" t="s">
        <v>194</v>
      </c>
      <c r="B95" s="59">
        <f>+B94+1</f>
        <v>87</v>
      </c>
      <c r="C95" s="67">
        <v>0.36</v>
      </c>
      <c r="D95" s="92" t="str">
        <f>+A95</f>
        <v>Tissues</v>
      </c>
      <c r="E95" s="91"/>
      <c r="H95" s="96"/>
    </row>
    <row r="96" spans="1:8">
      <c r="A96" s="91" t="s">
        <v>195</v>
      </c>
      <c r="B96" s="59">
        <f>+B95+1</f>
        <v>88</v>
      </c>
      <c r="C96" s="67">
        <v>3.53</v>
      </c>
      <c r="D96" s="92" t="str">
        <f>+A96</f>
        <v>Stethescope</v>
      </c>
      <c r="E96" s="91"/>
      <c r="H96" s="96"/>
    </row>
    <row r="97" spans="1:8">
      <c r="A97" s="91" t="s">
        <v>196</v>
      </c>
      <c r="B97" s="59">
        <f>+B96+1</f>
        <v>89</v>
      </c>
      <c r="C97" s="67">
        <v>331.53</v>
      </c>
      <c r="D97" s="92" t="str">
        <f>+A97</f>
        <v>Oxygen saturation probes (non disposable)</v>
      </c>
      <c r="E97" s="91"/>
      <c r="H97" s="96"/>
    </row>
    <row r="98" spans="1:8">
      <c r="A98" s="91" t="s">
        <v>197</v>
      </c>
      <c r="B98" s="59">
        <f>+B97+1</f>
        <v>90</v>
      </c>
      <c r="C98" s="83">
        <f>F98/G98</f>
        <v>0.0913</v>
      </c>
      <c r="D98" s="92" t="str">
        <f>+A98</f>
        <v>Urine bottle - disposable (pack 200)</v>
      </c>
      <c r="E98" s="91"/>
      <c r="F98" s="59">
        <v>18.26</v>
      </c>
      <c r="G98" s="59">
        <v>200</v>
      </c>
      <c r="H98" s="79"/>
    </row>
    <row r="99" spans="1:8">
      <c r="A99" s="91" t="s">
        <v>198</v>
      </c>
      <c r="B99" s="59">
        <f>+B98+1</f>
        <v>91</v>
      </c>
      <c r="C99" s="83">
        <f>F99/G99</f>
        <v>0.16454999999999997</v>
      </c>
      <c r="D99" s="92" t="str">
        <f>+A99</f>
        <v>Slipper pans -disposable (pack 200)</v>
      </c>
      <c r="E99" s="91"/>
      <c r="F99" s="59">
        <v>32.91</v>
      </c>
      <c r="G99" s="59">
        <v>200</v>
      </c>
      <c r="H99" s="79"/>
    </row>
    <row r="100" spans="1:8">
      <c r="A100" s="91" t="s">
        <v>199</v>
      </c>
      <c r="B100" s="59">
        <f>+B99+1</f>
        <v>92</v>
      </c>
      <c r="C100" s="83">
        <f>F100/G100</f>
        <v>0.04825</v>
      </c>
      <c r="D100" s="92" t="str">
        <f>+A100</f>
        <v>Vomit bowls - disposable (pack 200)</v>
      </c>
      <c r="E100" s="91"/>
      <c r="F100" s="59">
        <v>9.65</v>
      </c>
      <c r="G100" s="59">
        <v>200</v>
      </c>
      <c r="H100" s="79"/>
    </row>
    <row r="101" spans="1:8">
      <c r="A101" s="91" t="s">
        <v>200</v>
      </c>
      <c r="B101" s="59">
        <f>+B100+1</f>
        <v>93</v>
      </c>
      <c r="C101" s="67">
        <v>1</v>
      </c>
      <c r="D101" s="92" t="str">
        <f>+A101</f>
        <v>Sharps bin small</v>
      </c>
      <c r="E101" s="91"/>
      <c r="H101" s="79"/>
    </row>
    <row r="102" spans="1:8">
      <c r="A102" s="91" t="s">
        <v>201</v>
      </c>
      <c r="B102" s="59">
        <f>+B101+1</f>
        <v>94</v>
      </c>
      <c r="C102" s="67">
        <v>1.3</v>
      </c>
      <c r="D102" s="92" t="str">
        <f>+A102</f>
        <v>Sharps bin 1 litre</v>
      </c>
      <c r="E102" s="91"/>
      <c r="H102" s="79"/>
    </row>
    <row r="103" spans="1:8">
      <c r="A103" s="91" t="s">
        <v>202</v>
      </c>
      <c r="B103" s="59">
        <f>+B102+1</f>
        <v>95</v>
      </c>
      <c r="C103" s="67">
        <v>1.2</v>
      </c>
      <c r="D103" s="92" t="str">
        <f>+A103</f>
        <v>Ametop per tube</v>
      </c>
      <c r="E103" s="91"/>
      <c r="H103" s="79"/>
    </row>
    <row r="104" spans="1:8">
      <c r="A104" s="91" t="s">
        <v>203</v>
      </c>
      <c r="B104" s="59">
        <f>+B103+1</f>
        <v>96</v>
      </c>
      <c r="C104" s="67">
        <v>2.02</v>
      </c>
      <c r="D104" s="92" t="str">
        <f>+A104</f>
        <v>Emla per tube</v>
      </c>
      <c r="E104" s="91"/>
      <c r="H104" s="79"/>
    </row>
    <row r="105" spans="1:8">
      <c r="A105" s="91" t="s">
        <v>204</v>
      </c>
      <c r="B105" s="59">
        <f>+B104+1</f>
        <v>97</v>
      </c>
      <c r="C105" s="67">
        <v>16.21</v>
      </c>
      <c r="D105" s="92" t="str">
        <f>+A105</f>
        <v>Ethyl chloride spray per canister</v>
      </c>
      <c r="E105" s="91"/>
      <c r="H105" s="79"/>
    </row>
    <row r="106" spans="1:8">
      <c r="A106" s="91" t="s">
        <v>205</v>
      </c>
      <c r="B106" s="59">
        <f>+B105+1</f>
        <v>98</v>
      </c>
      <c r="C106" s="67">
        <v>13</v>
      </c>
      <c r="D106" s="92" t="str">
        <f>+A106</f>
        <v>Dry ice per 10kg bag</v>
      </c>
      <c r="E106" s="91"/>
      <c r="H106" s="79"/>
    </row>
    <row r="107" spans="1:8">
      <c r="A107" s="91" t="s">
        <v>206</v>
      </c>
      <c r="B107" s="59">
        <f>+B106+1</f>
        <v>99</v>
      </c>
      <c r="C107" s="67">
        <v>0.24</v>
      </c>
      <c r="D107" s="92" t="str">
        <f>+A107</f>
        <v>Adrenaline per ampule</v>
      </c>
      <c r="E107" s="91"/>
      <c r="H107" s="79"/>
    </row>
    <row r="108" spans="1:8">
      <c r="A108" s="91" t="s">
        <v>207</v>
      </c>
      <c r="B108" s="59">
        <f>+B107+1</f>
        <v>100</v>
      </c>
      <c r="C108" s="67">
        <v>0.12</v>
      </c>
      <c r="D108" s="92" t="str">
        <f>+A108</f>
        <v>Swab nasopharygeal</v>
      </c>
      <c r="E108" s="91"/>
      <c r="H108" s="79"/>
    </row>
    <row r="109" spans="1:8">
      <c r="A109" s="91" t="s">
        <v>208</v>
      </c>
      <c r="B109" s="59">
        <f>+B108+1</f>
        <v>101</v>
      </c>
      <c r="C109" s="67">
        <v>0.12</v>
      </c>
      <c r="D109" s="92" t="str">
        <f>+A109</f>
        <v>Swab oral</v>
      </c>
      <c r="E109" s="91"/>
      <c r="H109" s="79"/>
    </row>
    <row r="110" spans="1:8">
      <c r="A110" s="91" t="s">
        <v>209</v>
      </c>
      <c r="B110" s="59">
        <f>+B109+1</f>
        <v>102</v>
      </c>
      <c r="C110" s="67">
        <v>1.99</v>
      </c>
      <c r="D110" s="92" t="str">
        <f>+A110</f>
        <v>Digital thermometer</v>
      </c>
      <c r="E110" s="91"/>
      <c r="H110" s="79"/>
    </row>
    <row r="111" spans="1:8">
      <c r="A111" s="91" t="s">
        <v>210</v>
      </c>
      <c r="B111" s="59">
        <f>+B110+1</f>
        <v>103</v>
      </c>
      <c r="C111" s="67">
        <f>F111/G111</f>
        <v>0.0886</v>
      </c>
      <c r="D111" s="92" t="str">
        <f>+A111</f>
        <v>Thermometer dot matrix system single use</v>
      </c>
      <c r="E111" s="91"/>
      <c r="F111" s="59">
        <v>8.86</v>
      </c>
      <c r="G111" s="59">
        <v>100</v>
      </c>
      <c r="H111" s="79"/>
    </row>
    <row r="112" spans="1:8">
      <c r="A112" s="91" t="s">
        <v>211</v>
      </c>
      <c r="B112" s="59">
        <f>+B111+1</f>
        <v>104</v>
      </c>
      <c r="C112" s="67">
        <v>0.99</v>
      </c>
      <c r="D112" s="92" t="str">
        <f>+A112</f>
        <v>Pregnancy testing kit</v>
      </c>
      <c r="E112" s="91"/>
      <c r="H112" s="79"/>
    </row>
    <row r="113" spans="1:8">
      <c r="A113" s="91" t="s">
        <v>212</v>
      </c>
      <c r="B113" s="59">
        <f>+B112+1</f>
        <v>105</v>
      </c>
      <c r="C113" s="67">
        <f>10*0.45</f>
        <v>4.5</v>
      </c>
      <c r="D113" s="92" t="str">
        <f>+A113</f>
        <v>Staff travel (est 10mile round trip)</v>
      </c>
      <c r="E113" s="91"/>
      <c r="H113" s="79"/>
    </row>
    <row r="114" spans="1:8">
      <c r="A114" s="91" t="s">
        <v>213</v>
      </c>
      <c r="B114" s="59">
        <f>+B113+1</f>
        <v>106</v>
      </c>
      <c r="C114" s="67">
        <f>15*0.45</f>
        <v>6.75</v>
      </c>
      <c r="D114" s="92" t="str">
        <f>+A114</f>
        <v>Staff travel (est 15mile round trip)</v>
      </c>
      <c r="E114" s="91"/>
      <c r="H114" s="79"/>
    </row>
    <row r="115" spans="1:8">
      <c r="A115" s="91" t="s">
        <v>214</v>
      </c>
      <c r="B115" s="59">
        <f>+B114+1</f>
        <v>107</v>
      </c>
      <c r="C115" s="67">
        <f>20*0.45</f>
        <v>9</v>
      </c>
      <c r="D115" s="92" t="str">
        <f>+A115</f>
        <v>Staff travel (est 20mile round trip)</v>
      </c>
      <c r="E115" s="91"/>
      <c r="H115" s="79"/>
    </row>
    <row r="116" spans="1:8">
      <c r="A116" s="91" t="s">
        <v>215</v>
      </c>
      <c r="B116" s="59">
        <f>+B115+1</f>
        <v>108</v>
      </c>
      <c r="C116" s="67">
        <f>25*0.45</f>
        <v>11.25</v>
      </c>
      <c r="D116" s="92" t="str">
        <f>+A116</f>
        <v>Staff travel (est 25mile round trip)</v>
      </c>
      <c r="E116" s="91"/>
      <c r="H116" s="79"/>
    </row>
    <row r="117" spans="1:8">
      <c r="A117" s="91" t="s">
        <v>216</v>
      </c>
      <c r="B117" s="59">
        <f>+B116+1</f>
        <v>109</v>
      </c>
      <c r="C117" s="67">
        <f>30*0.4</f>
        <v>12</v>
      </c>
      <c r="D117" s="92" t="str">
        <f>+A117</f>
        <v>Staff travel (est 30mile round trip)</v>
      </c>
      <c r="E117" s="91"/>
      <c r="H117" s="79"/>
    </row>
    <row r="118" spans="1:8">
      <c r="A118" s="91" t="s">
        <v>217</v>
      </c>
      <c r="B118" s="59">
        <f>+B117+1</f>
        <v>110</v>
      </c>
      <c r="C118" s="67">
        <f>35*0.4</f>
        <v>14</v>
      </c>
      <c r="D118" s="92" t="str">
        <f>+A118</f>
        <v>Staff travel (est 35mile round trip)</v>
      </c>
      <c r="E118" s="91"/>
      <c r="H118" s="79"/>
    </row>
    <row r="119" spans="1:8">
      <c r="A119" s="91" t="s">
        <v>218</v>
      </c>
      <c r="B119" s="59">
        <f>+B118+1</f>
        <v>111</v>
      </c>
      <c r="C119" s="67">
        <f>40*0.4</f>
        <v>16</v>
      </c>
      <c r="D119" s="92" t="str">
        <f>+A119</f>
        <v>Staff travel (est 40mile round trip)</v>
      </c>
      <c r="E119" s="91"/>
      <c r="H119" s="79"/>
    </row>
    <row r="120" spans="1:8">
      <c r="A120" s="91" t="s">
        <v>219</v>
      </c>
      <c r="B120" s="59">
        <f>+B119+1</f>
        <v>112</v>
      </c>
      <c r="C120" s="67">
        <f>45*0.4</f>
        <v>18</v>
      </c>
      <c r="D120" s="92" t="str">
        <f>+A120</f>
        <v>Staff travel (est 45mile round trip)</v>
      </c>
      <c r="E120" s="91"/>
      <c r="H120" s="79"/>
    </row>
    <row r="121" spans="1:8">
      <c r="A121" s="91" t="s">
        <v>220</v>
      </c>
      <c r="B121" s="59">
        <f>+B120+1</f>
        <v>113</v>
      </c>
      <c r="C121" s="67">
        <f>50*0.4</f>
        <v>20</v>
      </c>
      <c r="D121" s="92" t="str">
        <f>+A121</f>
        <v>Staff travel (est 50mile round trip)</v>
      </c>
      <c r="E121" s="91"/>
      <c r="H121" s="79"/>
    </row>
    <row r="122" spans="1:8">
      <c r="A122" s="91" t="s">
        <v>221</v>
      </c>
      <c r="B122" s="59">
        <f>+B121+1</f>
        <v>114</v>
      </c>
      <c r="C122" s="67">
        <v>37.5</v>
      </c>
      <c r="D122" s="92" t="str">
        <f>+A122</f>
        <v>WTCRF Room Hire</v>
      </c>
      <c r="E122" s="91"/>
      <c r="H122" s="79"/>
    </row>
    <row r="123" spans="1:8">
      <c r="A123" s="91" t="s">
        <v>222</v>
      </c>
      <c r="B123" s="59">
        <f>+B122+1</f>
        <v>115</v>
      </c>
      <c r="C123" s="83">
        <f>F123/G123</f>
        <v>0.0044</v>
      </c>
      <c r="D123" s="92" t="str">
        <f>+A123</f>
        <v>A4 white paper (500 sheets)</v>
      </c>
      <c r="E123" s="91"/>
      <c r="F123" s="59">
        <v>2.2</v>
      </c>
      <c r="G123" s="59">
        <v>500</v>
      </c>
      <c r="H123" s="79"/>
    </row>
    <row r="124" spans="1:8">
      <c r="A124" s="91" t="s">
        <v>223</v>
      </c>
      <c r="B124" s="59">
        <f>+B123+1</f>
        <v>116</v>
      </c>
      <c r="C124" s="83">
        <f>F124/G124</f>
        <v>0.032920000000000005</v>
      </c>
      <c r="D124" s="92" t="str">
        <f>+A124</f>
        <v>C5 envelopes (pack 500)</v>
      </c>
      <c r="E124" s="91"/>
      <c r="F124" s="59">
        <v>16.46</v>
      </c>
      <c r="G124" s="59">
        <v>500</v>
      </c>
      <c r="H124" s="79"/>
    </row>
    <row r="125" spans="1:7">
      <c r="A125" s="91" t="s">
        <v>224</v>
      </c>
      <c r="B125" s="59">
        <f>+B124+1</f>
        <v>117</v>
      </c>
      <c r="C125" s="83">
        <f>F125/G125</f>
        <v>0.00857</v>
      </c>
      <c r="D125" s="92" t="str">
        <f>+A125</f>
        <v>DL envelopes (pack 1000)</v>
      </c>
      <c r="E125" s="91"/>
      <c r="F125" s="59">
        <v>8.57</v>
      </c>
      <c r="G125" s="59">
        <v>1000</v>
      </c>
    </row>
    <row r="126" spans="1:5">
      <c r="A126" s="91" t="s">
        <v>225</v>
      </c>
      <c r="B126" s="59">
        <f>+B125+1</f>
        <v>118</v>
      </c>
      <c r="C126" s="67">
        <v>49.25</v>
      </c>
      <c r="D126" s="92" t="str">
        <f>+A126</f>
        <v>Printer Cartridge - Laser</v>
      </c>
      <c r="E126" s="91"/>
    </row>
    <row r="127" spans="1:5">
      <c r="A127" s="91" t="s">
        <v>226</v>
      </c>
      <c r="B127" s="59">
        <f>+B126+1</f>
        <v>119</v>
      </c>
      <c r="C127" s="67">
        <v>10.03</v>
      </c>
      <c r="D127" s="92" t="str">
        <f>+A127</f>
        <v>Printer Cartridge - Inkjet</v>
      </c>
      <c r="E127" s="91"/>
    </row>
    <row r="128" spans="1:5">
      <c r="A128" s="91" t="s">
        <v>227</v>
      </c>
      <c r="B128" s="59">
        <f>+B127+1</f>
        <v>120</v>
      </c>
      <c r="C128" s="67">
        <v>0.39</v>
      </c>
      <c r="D128" s="92" t="str">
        <f>+A128</f>
        <v>First class stamp</v>
      </c>
      <c r="E128" s="91"/>
    </row>
    <row r="129" spans="1:7" ht="13">
      <c r="A129" s="97" t="s">
        <v>228</v>
      </c>
      <c r="B129" s="59">
        <f>+B128+1</f>
        <v>121</v>
      </c>
      <c r="C129" s="67">
        <v>0</v>
      </c>
      <c r="D129" s="69" t="s">
        <v>228</v>
      </c>
      <c r="E129" s="90"/>
      <c r="F129" s="69"/>
      <c r="G129" s="69"/>
    </row>
    <row r="130" spans="1:5">
      <c r="A130" s="98" t="s">
        <v>229</v>
      </c>
      <c r="B130" s="59">
        <f>+B129+1</f>
        <v>122</v>
      </c>
      <c r="C130" s="67">
        <v>409.86</v>
      </c>
      <c r="D130" s="59" t="str">
        <f>+A130</f>
        <v>Desktop PC</v>
      </c>
      <c r="E130" s="98"/>
    </row>
    <row r="131" spans="1:5">
      <c r="A131" s="98" t="s">
        <v>230</v>
      </c>
      <c r="B131" s="59">
        <f>+B130+1</f>
        <v>123</v>
      </c>
      <c r="C131" s="67">
        <v>588.22</v>
      </c>
      <c r="D131" s="59" t="str">
        <f>+A131</f>
        <v>Laptop</v>
      </c>
      <c r="E131" s="98"/>
    </row>
    <row r="132" spans="1:5">
      <c r="A132" s="98" t="s">
        <v>231</v>
      </c>
      <c r="B132" s="59">
        <f>+B131+1</f>
        <v>124</v>
      </c>
      <c r="C132" s="67">
        <v>415</v>
      </c>
      <c r="D132" s="59" t="str">
        <f>+A132</f>
        <v>PDA</v>
      </c>
      <c r="E132" s="98"/>
    </row>
    <row r="133" spans="1:5">
      <c r="A133" s="98" t="s">
        <v>232</v>
      </c>
      <c r="B133" s="59">
        <f>+B132+1</f>
        <v>125</v>
      </c>
      <c r="C133" s="67">
        <v>130</v>
      </c>
      <c r="D133" s="59" t="str">
        <f>+A133</f>
        <v>Support Charge (per annum)</v>
      </c>
      <c r="E133" s="98"/>
    </row>
    <row r="134" spans="1:5">
      <c r="A134" s="98" t="s">
        <v>233</v>
      </c>
      <c r="B134" s="59">
        <f>+B133+1</f>
        <v>126</v>
      </c>
      <c r="C134" s="67">
        <v>215</v>
      </c>
      <c r="D134" s="59" t="str">
        <f>+A134</f>
        <v>Laser Printer</v>
      </c>
      <c r="E134" s="98"/>
    </row>
    <row r="135" spans="1:5">
      <c r="A135" s="98" t="s">
        <v>234</v>
      </c>
      <c r="B135" s="59">
        <f>+B134+1</f>
        <v>127</v>
      </c>
      <c r="C135" s="67">
        <v>350</v>
      </c>
      <c r="D135" s="59" t="str">
        <f>+A135</f>
        <v>Laser Printer - network</v>
      </c>
      <c r="E135" s="98"/>
    </row>
    <row r="136" spans="1:5">
      <c r="A136" s="98" t="s">
        <v>235</v>
      </c>
      <c r="B136" s="59">
        <f>+B135+1</f>
        <v>128</v>
      </c>
      <c r="C136" s="67">
        <v>125</v>
      </c>
      <c r="D136" s="59" t="str">
        <f>+A136</f>
        <v>Colour Inkjet</v>
      </c>
      <c r="E136" s="98"/>
    </row>
    <row r="137" spans="1:7" ht="13">
      <c r="A137" s="99" t="s">
        <v>236</v>
      </c>
      <c r="B137" s="59">
        <f>+B136+1</f>
        <v>129</v>
      </c>
      <c r="C137" s="67">
        <v>0</v>
      </c>
      <c r="D137" s="69" t="s">
        <v>236</v>
      </c>
      <c r="E137" s="90"/>
      <c r="F137" s="69"/>
      <c r="G137" s="69"/>
    </row>
    <row r="138" spans="1:5">
      <c r="A138" s="100" t="s">
        <v>237</v>
      </c>
      <c r="B138" s="59">
        <f>+B137+1</f>
        <v>130</v>
      </c>
      <c r="C138" s="67">
        <v>19</v>
      </c>
      <c r="D138" s="59" t="str">
        <f>+A138</f>
        <v>Audiometry</v>
      </c>
      <c r="E138" s="100"/>
    </row>
    <row r="139" spans="1:5">
      <c r="A139" s="100" t="s">
        <v>238</v>
      </c>
      <c r="B139" s="59">
        <f>+B138+1</f>
        <v>131</v>
      </c>
      <c r="C139" s="67">
        <v>19</v>
      </c>
      <c r="D139" s="59" t="str">
        <f>+A139</f>
        <v>Electrocardiograph</v>
      </c>
      <c r="E139" s="100"/>
    </row>
    <row r="140" spans="1:8">
      <c r="A140" s="100" t="s">
        <v>239</v>
      </c>
      <c r="B140" s="59">
        <f>+B139+1</f>
        <v>132</v>
      </c>
      <c r="C140" s="67">
        <v>72</v>
      </c>
      <c r="D140" s="59" t="str">
        <f>+A140</f>
        <v>DEXA</v>
      </c>
      <c r="E140" s="100" t="s">
        <v>240</v>
      </c>
      <c r="H140" s="79"/>
    </row>
    <row r="141" spans="1:10">
      <c r="A141" s="100" t="s">
        <v>241</v>
      </c>
      <c r="B141" s="59">
        <f>+B140+1</f>
        <v>133</v>
      </c>
      <c r="C141" s="67">
        <v>250</v>
      </c>
      <c r="D141" s="59" t="str">
        <f>+A141</f>
        <v>Echocardiography</v>
      </c>
      <c r="E141" s="100"/>
      <c r="H141" s="88"/>
      <c r="I141" s="88"/>
      <c r="J141" s="88"/>
    </row>
    <row r="142" spans="1:22" ht="13">
      <c r="A142" s="101" t="s">
        <v>242</v>
      </c>
      <c r="B142" s="59">
        <f>+B141+1</f>
        <v>134</v>
      </c>
      <c r="C142" s="102">
        <v>0</v>
      </c>
      <c r="D142" s="103" t="str">
        <f>+A142</f>
        <v>Clinical Biochemistry</v>
      </c>
      <c r="E142" s="104"/>
      <c r="T142" s="101"/>
      <c r="V142" s="67" t="s">
        <v>243</v>
      </c>
    </row>
    <row r="143" spans="1:22">
      <c r="A143" s="105" t="s">
        <v>244</v>
      </c>
      <c r="B143" s="59">
        <f>+B142+1</f>
        <v>135</v>
      </c>
      <c r="C143" s="102">
        <v>16.6</v>
      </c>
      <c r="D143" s="92" t="str">
        <f>+A143</f>
        <v>3 HYDROXYBUTERATE</v>
      </c>
      <c r="E143" s="105"/>
      <c r="T143" s="105" t="s">
        <v>245</v>
      </c>
      <c r="U143" s="106" t="s">
        <v>246</v>
      </c>
      <c r="V143" s="107">
        <v>9.7</v>
      </c>
    </row>
    <row r="144" spans="1:22">
      <c r="A144" s="105" t="s">
        <v>247</v>
      </c>
      <c r="B144" s="59">
        <f>+B143+1</f>
        <v>136</v>
      </c>
      <c r="C144" s="102">
        <v>12.3</v>
      </c>
      <c r="D144" s="92" t="str">
        <f>+A144</f>
        <v>17 OH PROGESTERONE - BLOOD SPOT</v>
      </c>
      <c r="E144" s="105"/>
      <c r="T144" s="105" t="s">
        <v>248</v>
      </c>
      <c r="U144" s="108" t="s">
        <v>249</v>
      </c>
      <c r="V144" s="107">
        <v>5</v>
      </c>
    </row>
    <row r="145" spans="1:22">
      <c r="A145" s="105" t="s">
        <v>250</v>
      </c>
      <c r="B145" s="59">
        <f>+B144+1</f>
        <v>137</v>
      </c>
      <c r="C145" s="102">
        <v>12.3</v>
      </c>
      <c r="D145" s="92" t="str">
        <f>+A145</f>
        <v>17 OH PROGESTERONE - SERUM</v>
      </c>
      <c r="E145" s="105"/>
      <c r="T145" s="105" t="s">
        <v>251</v>
      </c>
      <c r="U145" s="108" t="s">
        <v>252</v>
      </c>
      <c r="V145" s="107">
        <v>5</v>
      </c>
    </row>
    <row r="146" spans="1:22">
      <c r="A146" s="105" t="s">
        <v>253</v>
      </c>
      <c r="B146" s="59">
        <f>+B145+1</f>
        <v>138</v>
      </c>
      <c r="C146" s="102">
        <v>12.3</v>
      </c>
      <c r="D146" s="92" t="str">
        <f>+A146</f>
        <v>17 OH PROGESTERONE - URINE</v>
      </c>
      <c r="E146" s="105"/>
      <c r="T146" s="105" t="s">
        <v>254</v>
      </c>
      <c r="U146" s="108" t="s">
        <v>255</v>
      </c>
      <c r="V146" s="107">
        <v>5</v>
      </c>
    </row>
    <row r="147" spans="1:22">
      <c r="A147" s="105" t="s">
        <v>256</v>
      </c>
      <c r="B147" s="59">
        <f>+B146+1</f>
        <v>139</v>
      </c>
      <c r="C147" s="102">
        <v>25</v>
      </c>
      <c r="D147" s="92" t="str">
        <f>+A147</f>
        <v>5 -HIAA</v>
      </c>
      <c r="E147" s="105"/>
      <c r="T147" s="105" t="s">
        <v>257</v>
      </c>
      <c r="U147" s="109" t="s">
        <v>258</v>
      </c>
      <c r="V147" s="107">
        <v>13.1</v>
      </c>
    </row>
    <row r="148" spans="1:22">
      <c r="A148" s="105" t="s">
        <v>259</v>
      </c>
      <c r="B148" s="59">
        <f>+B147+1</f>
        <v>140</v>
      </c>
      <c r="C148" s="102">
        <v>28.5</v>
      </c>
      <c r="D148" s="92" t="str">
        <f>+A148</f>
        <v>18 HYROXY CORTISOL</v>
      </c>
      <c r="E148" s="105"/>
      <c r="T148" s="105" t="s">
        <v>260</v>
      </c>
      <c r="U148" s="108" t="s">
        <v>261</v>
      </c>
      <c r="V148" s="107">
        <v>11.9</v>
      </c>
    </row>
    <row r="149" spans="1:22">
      <c r="A149" s="105" t="s">
        <v>262</v>
      </c>
      <c r="B149" s="59">
        <f>+B148+1</f>
        <v>141</v>
      </c>
      <c r="C149" s="102">
        <v>28.5</v>
      </c>
      <c r="D149" s="92" t="str">
        <f>+A149</f>
        <v>18 HYROXY CORTISOL (URINE)</v>
      </c>
      <c r="E149" s="105"/>
      <c r="T149" s="105" t="s">
        <v>263</v>
      </c>
      <c r="U149" s="108" t="s">
        <v>264</v>
      </c>
      <c r="V149" s="107">
        <v>5</v>
      </c>
    </row>
    <row r="150" spans="1:22">
      <c r="A150" s="105" t="s">
        <v>265</v>
      </c>
      <c r="B150" s="59">
        <f>+B149+1</f>
        <v>142</v>
      </c>
      <c r="C150" s="102">
        <v>6.7</v>
      </c>
      <c r="D150" s="92" t="str">
        <f>+A150</f>
        <v>ACE</v>
      </c>
      <c r="E150" s="105"/>
      <c r="T150" s="105" t="s">
        <v>266</v>
      </c>
      <c r="U150" s="108" t="s">
        <v>266</v>
      </c>
      <c r="V150" s="107">
        <v>4.8</v>
      </c>
    </row>
    <row r="151" spans="1:22">
      <c r="A151" s="105" t="s">
        <v>267</v>
      </c>
      <c r="B151" s="59">
        <f>+B150+1</f>
        <v>143</v>
      </c>
      <c r="C151" s="102">
        <v>13.3</v>
      </c>
      <c r="D151" s="92" t="str">
        <f>+A151</f>
        <v>ACTH</v>
      </c>
      <c r="E151" s="105"/>
      <c r="T151" s="105" t="s">
        <v>268</v>
      </c>
      <c r="U151" s="108" t="s">
        <v>269</v>
      </c>
      <c r="V151" s="107">
        <v>4.4</v>
      </c>
    </row>
    <row r="152" spans="1:22">
      <c r="A152" s="105" t="s">
        <v>270</v>
      </c>
      <c r="B152" s="59">
        <f>+B151+1</f>
        <v>144</v>
      </c>
      <c r="C152" s="102">
        <v>11.9</v>
      </c>
      <c r="D152" s="92" t="str">
        <f>+A152</f>
        <v>AFP (CSF)</v>
      </c>
      <c r="E152" s="105"/>
      <c r="T152" s="105" t="s">
        <v>271</v>
      </c>
      <c r="U152" s="108" t="s">
        <v>272</v>
      </c>
      <c r="V152" s="107">
        <v>5</v>
      </c>
    </row>
    <row r="153" spans="1:22">
      <c r="A153" s="105" t="s">
        <v>273</v>
      </c>
      <c r="B153" s="59">
        <f>+B152+1</f>
        <v>145</v>
      </c>
      <c r="C153" s="102">
        <v>8.5</v>
      </c>
      <c r="D153" s="92" t="str">
        <f>+A153</f>
        <v>ALBUMIN (URINE)</v>
      </c>
      <c r="E153" s="105"/>
      <c r="T153" s="105" t="s">
        <v>274</v>
      </c>
      <c r="U153" s="108" t="s">
        <v>275</v>
      </c>
      <c r="V153" s="107">
        <v>5</v>
      </c>
    </row>
    <row r="154" spans="1:22">
      <c r="A154" s="105" t="s">
        <v>276</v>
      </c>
      <c r="B154" s="59">
        <f>+B153+1</f>
        <v>146</v>
      </c>
      <c r="C154" s="102">
        <v>24.1</v>
      </c>
      <c r="D154" s="92" t="str">
        <f>+A154</f>
        <v>ALDOSTERONE</v>
      </c>
      <c r="E154" s="105"/>
      <c r="T154" s="105" t="s">
        <v>277</v>
      </c>
      <c r="U154" s="108" t="s">
        <v>278</v>
      </c>
      <c r="V154" s="107">
        <v>9.7</v>
      </c>
    </row>
    <row r="155" spans="1:22">
      <c r="A155" s="105" t="s">
        <v>279</v>
      </c>
      <c r="B155" s="59">
        <f>+B154+1</f>
        <v>147</v>
      </c>
      <c r="C155" s="102">
        <v>14.7</v>
      </c>
      <c r="D155" s="92" t="str">
        <f>+A155</f>
        <v>ALK PHOS ISOENZYMES</v>
      </c>
      <c r="E155" s="105"/>
      <c r="T155" s="105" t="s">
        <v>280</v>
      </c>
      <c r="U155" s="108" t="s">
        <v>281</v>
      </c>
      <c r="V155" s="107">
        <v>2.8</v>
      </c>
    </row>
    <row r="156" spans="1:22">
      <c r="A156" s="105" t="s">
        <v>282</v>
      </c>
      <c r="B156" s="59">
        <f>+B155+1</f>
        <v>148</v>
      </c>
      <c r="C156" s="102">
        <v>53.1</v>
      </c>
      <c r="D156" s="92" t="str">
        <f>+A156</f>
        <v>ALDOSTERONE/RENIN RATIO</v>
      </c>
      <c r="E156" s="105"/>
      <c r="T156" s="105" t="s">
        <v>283</v>
      </c>
      <c r="U156" s="108" t="s">
        <v>284</v>
      </c>
      <c r="V156" s="107">
        <v>3.4</v>
      </c>
    </row>
    <row r="157" spans="1:22">
      <c r="A157" s="105" t="s">
        <v>285</v>
      </c>
      <c r="B157" s="59">
        <f>+B156+1</f>
        <v>149</v>
      </c>
      <c r="C157" s="102">
        <v>7.7</v>
      </c>
      <c r="D157" s="92" t="str">
        <f>+A157</f>
        <v>ALPHA-1 ANTITRYPSIN</v>
      </c>
      <c r="E157" s="105"/>
      <c r="T157" s="105" t="s">
        <v>286</v>
      </c>
      <c r="U157" s="108" t="s">
        <v>286</v>
      </c>
      <c r="V157" s="107">
        <v>3.4</v>
      </c>
    </row>
    <row r="158" spans="1:22">
      <c r="A158" s="105" t="s">
        <v>287</v>
      </c>
      <c r="B158" s="59">
        <f>+B157+1</f>
        <v>150</v>
      </c>
      <c r="C158" s="102">
        <v>27</v>
      </c>
      <c r="D158" s="92" t="str">
        <f>+A158</f>
        <v>ALPHA-1 AT PHENOTYPE</v>
      </c>
      <c r="E158" s="105"/>
      <c r="T158" s="105" t="s">
        <v>288</v>
      </c>
      <c r="U158" s="108" t="s">
        <v>289</v>
      </c>
      <c r="V158" s="107">
        <v>3.9</v>
      </c>
    </row>
    <row r="159" spans="1:22">
      <c r="A159" s="105" t="s">
        <v>290</v>
      </c>
      <c r="B159" s="59">
        <f>+B158+1</f>
        <v>151</v>
      </c>
      <c r="C159" s="102">
        <v>5</v>
      </c>
      <c r="D159" s="92" t="str">
        <f>+A159</f>
        <v>AMMONIA</v>
      </c>
      <c r="E159" s="105"/>
      <c r="T159" s="105" t="s">
        <v>291</v>
      </c>
      <c r="U159" s="108" t="s">
        <v>292</v>
      </c>
      <c r="V159" s="107">
        <v>11.7</v>
      </c>
    </row>
    <row r="160" spans="1:22">
      <c r="A160" s="110" t="s">
        <v>293</v>
      </c>
      <c r="B160" s="59">
        <f>+B159+1</f>
        <v>152</v>
      </c>
      <c r="C160" s="102">
        <v>32.2</v>
      </c>
      <c r="D160" s="92" t="str">
        <f>+A160</f>
        <v>AMINO ACIDS (PLASMA)</v>
      </c>
      <c r="E160" s="110"/>
      <c r="T160" s="110" t="s">
        <v>294</v>
      </c>
      <c r="U160" s="108" t="s">
        <v>295</v>
      </c>
      <c r="V160" s="107">
        <v>14.1</v>
      </c>
    </row>
    <row r="161" spans="1:22">
      <c r="A161" s="110" t="s">
        <v>296</v>
      </c>
      <c r="B161" s="59">
        <f>+B160+1</f>
        <v>153</v>
      </c>
      <c r="C161" s="102">
        <v>32.2</v>
      </c>
      <c r="D161" s="92" t="str">
        <f>+A161</f>
        <v>AMINO ACIDS (URINE)</v>
      </c>
      <c r="E161" s="83">
        <f>+X161</f>
        <v>0</v>
      </c>
      <c r="F161" s="83">
        <f>+Y161</f>
        <v>0</v>
      </c>
      <c r="G161" s="83">
        <f>+Z161</f>
        <v>0</v>
      </c>
      <c r="T161" s="110" t="s">
        <v>297</v>
      </c>
      <c r="U161" s="108" t="s">
        <v>298</v>
      </c>
      <c r="V161" s="107">
        <v>9.3</v>
      </c>
    </row>
    <row r="162" spans="1:22">
      <c r="A162" s="105" t="s">
        <v>299</v>
      </c>
      <c r="B162" s="59">
        <f>+B161+1</f>
        <v>154</v>
      </c>
      <c r="C162" s="102">
        <v>19.3</v>
      </c>
      <c r="D162" s="92" t="str">
        <f>+A162</f>
        <v>AMIODARONE</v>
      </c>
      <c r="E162" s="105"/>
      <c r="T162" s="105" t="s">
        <v>300</v>
      </c>
      <c r="U162" s="108" t="s">
        <v>301</v>
      </c>
      <c r="V162" s="107">
        <v>8.5</v>
      </c>
    </row>
    <row r="163" spans="1:22">
      <c r="A163" s="105" t="s">
        <v>302</v>
      </c>
      <c r="B163" s="59">
        <f>+B162+1</f>
        <v>155</v>
      </c>
      <c r="C163" s="102">
        <v>5</v>
      </c>
      <c r="D163" s="92" t="str">
        <f>+A163</f>
        <v>AMYLASE (FLUID)</v>
      </c>
      <c r="E163" s="105"/>
      <c r="T163" s="105" t="s">
        <v>303</v>
      </c>
      <c r="U163" s="108" t="s">
        <v>304</v>
      </c>
      <c r="V163" s="107">
        <v>5</v>
      </c>
    </row>
    <row r="164" spans="1:22">
      <c r="A164" s="105" t="s">
        <v>305</v>
      </c>
      <c r="B164" s="59">
        <f>+B163+1</f>
        <v>156</v>
      </c>
      <c r="C164" s="102">
        <v>9.7</v>
      </c>
      <c r="D164" s="92" t="str">
        <f>+A164</f>
        <v>ANDROSTENEDIONE (BLOOD SPOT)</v>
      </c>
      <c r="E164" s="105"/>
      <c r="T164" s="105" t="s">
        <v>306</v>
      </c>
      <c r="U164" s="108" t="s">
        <v>307</v>
      </c>
      <c r="V164" s="107">
        <v>6.7</v>
      </c>
    </row>
    <row r="165" spans="1:22">
      <c r="A165" s="105" t="s">
        <v>308</v>
      </c>
      <c r="B165" s="59">
        <f>+B164+1</f>
        <v>157</v>
      </c>
      <c r="C165" s="102">
        <v>9.7</v>
      </c>
      <c r="D165" s="92" t="str">
        <f>+A165</f>
        <v>ANDROSTENEDIONE (PLASMA)</v>
      </c>
      <c r="E165" s="105"/>
      <c r="T165" s="105" t="s">
        <v>309</v>
      </c>
      <c r="U165" s="108" t="s">
        <v>310</v>
      </c>
      <c r="V165" s="107">
        <v>3.4</v>
      </c>
    </row>
    <row r="166" spans="1:22">
      <c r="A166" s="105" t="s">
        <v>311</v>
      </c>
      <c r="B166" s="59">
        <f>+B165+1</f>
        <v>158</v>
      </c>
      <c r="C166" s="102">
        <v>13.1</v>
      </c>
      <c r="D166" s="92" t="str">
        <f>+A166</f>
        <v>BETA CAROTENE</v>
      </c>
      <c r="E166" s="105"/>
      <c r="T166" s="105" t="s">
        <v>312</v>
      </c>
      <c r="U166" s="108" t="s">
        <v>313</v>
      </c>
      <c r="V166" s="107">
        <v>3.4</v>
      </c>
    </row>
    <row r="167" spans="1:22">
      <c r="A167" s="105" t="s">
        <v>314</v>
      </c>
      <c r="B167" s="59">
        <f>+B166+1</f>
        <v>159</v>
      </c>
      <c r="C167" s="102">
        <v>8.2</v>
      </c>
      <c r="D167" s="92" t="str">
        <f>+A167</f>
        <v>BILE ACIDS</v>
      </c>
      <c r="E167" s="105"/>
      <c r="T167" s="105" t="s">
        <v>315</v>
      </c>
      <c r="U167" s="108" t="s">
        <v>316</v>
      </c>
      <c r="V167" s="107">
        <v>11.9</v>
      </c>
    </row>
    <row r="168" spans="1:22">
      <c r="A168" s="105" t="s">
        <v>317</v>
      </c>
      <c r="B168" s="59">
        <f>+B167+1</f>
        <v>160</v>
      </c>
      <c r="C168" s="102">
        <v>9.1</v>
      </c>
      <c r="D168" s="92" t="str">
        <f>+A168</f>
        <v>BILIRUBIN (URINE)</v>
      </c>
      <c r="E168" s="105"/>
      <c r="T168" s="105" t="s">
        <v>318</v>
      </c>
      <c r="U168" s="108" t="s">
        <v>319</v>
      </c>
      <c r="V168" s="107">
        <v>7.6</v>
      </c>
    </row>
    <row r="169" spans="1:22">
      <c r="A169" s="105" t="s">
        <v>320</v>
      </c>
      <c r="B169" s="59">
        <f>+B168+1</f>
        <v>161</v>
      </c>
      <c r="C169" s="102">
        <v>19.7</v>
      </c>
      <c r="D169" s="92" t="str">
        <f>+A169</f>
        <v>BUPRENORPHINE</v>
      </c>
      <c r="E169" s="105"/>
      <c r="T169" s="105" t="s">
        <v>321</v>
      </c>
      <c r="U169" s="108" t="s">
        <v>322</v>
      </c>
      <c r="V169" s="107">
        <v>5.9</v>
      </c>
    </row>
    <row r="170" spans="1:22">
      <c r="A170" s="105" t="s">
        <v>323</v>
      </c>
      <c r="B170" s="59">
        <f>+B169+1</f>
        <v>162</v>
      </c>
      <c r="C170" s="102">
        <v>11.7</v>
      </c>
      <c r="D170" s="92" t="str">
        <f>+A170</f>
        <v>C-PEPTIDE</v>
      </c>
      <c r="E170" s="105"/>
      <c r="T170" s="105"/>
      <c r="U170" s="108"/>
      <c r="V170" s="107"/>
    </row>
    <row r="171" spans="1:22">
      <c r="A171" s="105" t="s">
        <v>324</v>
      </c>
      <c r="B171" s="59">
        <f>+B170+1</f>
        <v>163</v>
      </c>
      <c r="C171" s="102">
        <v>13.6</v>
      </c>
      <c r="D171" s="92" t="str">
        <f>+A171</f>
        <v>CA 125</v>
      </c>
      <c r="E171" s="105"/>
      <c r="T171" s="105"/>
      <c r="U171" s="108"/>
      <c r="V171" s="107"/>
    </row>
    <row r="172" spans="1:22">
      <c r="A172" s="105" t="s">
        <v>325</v>
      </c>
      <c r="B172" s="59">
        <f>+B171+1</f>
        <v>164</v>
      </c>
      <c r="C172" s="102">
        <v>16.3</v>
      </c>
      <c r="D172" s="92" t="str">
        <f>+A172</f>
        <v>CA15-3</v>
      </c>
      <c r="E172" s="105"/>
      <c r="T172" s="105" t="s">
        <v>326</v>
      </c>
      <c r="U172" s="108" t="s">
        <v>327</v>
      </c>
      <c r="V172" s="107">
        <v>4.5</v>
      </c>
    </row>
    <row r="173" spans="1:22">
      <c r="A173" s="105" t="s">
        <v>328</v>
      </c>
      <c r="B173" s="59">
        <f>+B172+1</f>
        <v>165</v>
      </c>
      <c r="C173" s="102">
        <v>16.3</v>
      </c>
      <c r="D173" s="92" t="str">
        <f>+A173</f>
        <v>CA19-9</v>
      </c>
      <c r="E173" s="105"/>
      <c r="T173" s="105" t="s">
        <v>329</v>
      </c>
      <c r="U173" s="108" t="s">
        <v>330</v>
      </c>
      <c r="V173" s="107">
        <v>6.7</v>
      </c>
    </row>
    <row r="174" spans="1:22">
      <c r="A174" s="105" t="s">
        <v>331</v>
      </c>
      <c r="B174" s="59">
        <f>+B173+1</f>
        <v>166</v>
      </c>
      <c r="C174" s="102">
        <v>9.1</v>
      </c>
      <c r="D174" s="92" t="str">
        <f>+A174</f>
        <v>CAERULOPLASMIN</v>
      </c>
      <c r="E174" s="105"/>
      <c r="T174" s="105" t="s">
        <v>332</v>
      </c>
      <c r="U174" s="108" t="s">
        <v>333</v>
      </c>
      <c r="V174" s="107">
        <v>4.4</v>
      </c>
    </row>
    <row r="175" spans="1:22">
      <c r="A175" s="105" t="s">
        <v>334</v>
      </c>
      <c r="B175" s="59">
        <f>+B174+1</f>
        <v>167</v>
      </c>
      <c r="C175" s="102">
        <v>33.2</v>
      </c>
      <c r="D175" s="92" t="str">
        <f>+A175</f>
        <v>CALCITONIN</v>
      </c>
      <c r="E175" s="105"/>
      <c r="T175" s="105" t="s">
        <v>335</v>
      </c>
      <c r="U175" s="108" t="s">
        <v>336</v>
      </c>
      <c r="V175" s="107">
        <v>6.7</v>
      </c>
    </row>
    <row r="176" spans="1:22">
      <c r="A176" s="105" t="s">
        <v>337</v>
      </c>
      <c r="B176" s="59">
        <f>+B175+1</f>
        <v>168</v>
      </c>
      <c r="C176" s="102">
        <v>8.3</v>
      </c>
      <c r="D176" s="92" t="str">
        <f>+A176</f>
        <v>CALCIUM (URINE)</v>
      </c>
      <c r="E176" s="105"/>
      <c r="T176" s="105" t="s">
        <v>338</v>
      </c>
      <c r="U176" s="108" t="s">
        <v>339</v>
      </c>
      <c r="V176" s="107">
        <v>6.7</v>
      </c>
    </row>
    <row r="177" spans="1:22">
      <c r="A177" s="105" t="s">
        <v>340</v>
      </c>
      <c r="B177" s="59">
        <f>+B176+1</f>
        <v>169</v>
      </c>
      <c r="C177" s="102">
        <v>10.4</v>
      </c>
      <c r="D177" s="92" t="str">
        <f>+A177</f>
        <v>CARBOXYHAEMOGLOBIN</v>
      </c>
      <c r="E177" s="105"/>
      <c r="T177" s="105" t="s">
        <v>341</v>
      </c>
      <c r="U177" s="108" t="s">
        <v>342</v>
      </c>
      <c r="V177" s="107">
        <v>9.7</v>
      </c>
    </row>
    <row r="178" spans="1:22">
      <c r="A178" s="105" t="s">
        <v>343</v>
      </c>
      <c r="B178" s="59">
        <f>+B177+1</f>
        <v>170</v>
      </c>
      <c r="C178" s="102">
        <v>13</v>
      </c>
      <c r="D178" s="92" t="str">
        <f>+A178</f>
        <v>CEA</v>
      </c>
      <c r="E178" s="105"/>
      <c r="T178" s="105" t="s">
        <v>344</v>
      </c>
      <c r="U178" s="108" t="s">
        <v>345</v>
      </c>
      <c r="V178" s="107">
        <v>9.7</v>
      </c>
    </row>
    <row r="179" spans="1:22">
      <c r="A179" s="105" t="s">
        <v>346</v>
      </c>
      <c r="B179" s="59">
        <f>+B178+1</f>
        <v>171</v>
      </c>
      <c r="C179" s="102">
        <v>22.1</v>
      </c>
      <c r="D179" s="92" t="str">
        <f>+A179</f>
        <v>CHOLINESTERASE - PHENOTYPE</v>
      </c>
      <c r="E179" s="105"/>
      <c r="T179" s="105" t="s">
        <v>347</v>
      </c>
      <c r="U179" s="108" t="s">
        <v>348</v>
      </c>
      <c r="V179" s="107">
        <v>3.4</v>
      </c>
    </row>
    <row r="180" spans="1:22">
      <c r="A180" s="105" t="s">
        <v>349</v>
      </c>
      <c r="B180" s="59">
        <f>+B179+1</f>
        <v>172</v>
      </c>
      <c r="C180" s="102">
        <v>13.3</v>
      </c>
      <c r="D180" s="92" t="str">
        <f>+A180</f>
        <v>CHOLINESTERASE SCREEN</v>
      </c>
      <c r="E180" s="105"/>
      <c r="T180" s="105" t="s">
        <v>350</v>
      </c>
      <c r="U180" s="108" t="s">
        <v>351</v>
      </c>
      <c r="V180" s="107">
        <v>8.7</v>
      </c>
    </row>
    <row r="181" spans="1:22">
      <c r="A181" s="105" t="s">
        <v>352</v>
      </c>
      <c r="B181" s="59">
        <f>+B180+1</f>
        <v>173</v>
      </c>
      <c r="C181" s="102">
        <v>28.5</v>
      </c>
      <c r="D181" s="92" t="str">
        <f>+A181</f>
        <v>CHOLINESTERASE RED CELL</v>
      </c>
      <c r="E181" s="105"/>
      <c r="T181" s="105" t="s">
        <v>353</v>
      </c>
      <c r="U181" s="108" t="s">
        <v>354</v>
      </c>
      <c r="V181" s="107">
        <v>6.7</v>
      </c>
    </row>
    <row r="182" spans="1:22">
      <c r="A182" s="105" t="s">
        <v>355</v>
      </c>
      <c r="B182" s="59">
        <f>+B181+1</f>
        <v>174</v>
      </c>
      <c r="C182" s="102">
        <v>15</v>
      </c>
      <c r="D182" s="92" t="str">
        <f>+A182</f>
        <v>CITRATE (URINE)</v>
      </c>
      <c r="E182" s="105"/>
      <c r="T182" s="105" t="s">
        <v>356</v>
      </c>
      <c r="U182" s="108" t="s">
        <v>356</v>
      </c>
      <c r="V182" s="107">
        <v>9.7</v>
      </c>
    </row>
    <row r="183" spans="1:22">
      <c r="A183" s="105" t="s">
        <v>357</v>
      </c>
      <c r="B183" s="59">
        <f>+B182+1</f>
        <v>175</v>
      </c>
      <c r="C183" s="102">
        <v>11.7</v>
      </c>
      <c r="D183" s="92" t="str">
        <f>+A183</f>
        <v>CK-MB</v>
      </c>
      <c r="E183" s="105"/>
      <c r="T183" s="105" t="s">
        <v>358</v>
      </c>
      <c r="U183" s="108" t="s">
        <v>359</v>
      </c>
      <c r="V183" s="107">
        <v>5.7</v>
      </c>
    </row>
    <row r="184" spans="1:22">
      <c r="A184" s="105" t="s">
        <v>360</v>
      </c>
      <c r="B184" s="59">
        <f>+B183+1</f>
        <v>176</v>
      </c>
      <c r="C184" s="102">
        <v>14.6</v>
      </c>
      <c r="D184" s="92" t="str">
        <f>+A184</f>
        <v>CORTISOL (BLOOD SPOT)</v>
      </c>
      <c r="E184" s="105"/>
      <c r="T184" s="105" t="s">
        <v>361</v>
      </c>
      <c r="U184" s="108" t="s">
        <v>362</v>
      </c>
      <c r="V184" s="107">
        <v>9.7</v>
      </c>
    </row>
    <row r="185" spans="1:22">
      <c r="A185" s="105" t="s">
        <v>363</v>
      </c>
      <c r="B185" s="59">
        <f>+B184+1</f>
        <v>177</v>
      </c>
      <c r="C185" s="102">
        <v>11.7</v>
      </c>
      <c r="D185" s="92" t="str">
        <f>+A185</f>
        <v>CORTISOL (PLASMA)</v>
      </c>
      <c r="E185" s="105"/>
      <c r="T185" s="105" t="s">
        <v>364</v>
      </c>
      <c r="U185" s="108" t="s">
        <v>365</v>
      </c>
      <c r="V185" s="107">
        <v>8.5</v>
      </c>
    </row>
    <row r="186" spans="1:22">
      <c r="A186" s="105" t="s">
        <v>366</v>
      </c>
      <c r="B186" s="59">
        <f>+B185+1</f>
        <v>178</v>
      </c>
      <c r="C186" s="102">
        <v>11.7</v>
      </c>
      <c r="D186" s="92" t="str">
        <f>+A186</f>
        <v>CORTISOL (SALIVA)</v>
      </c>
      <c r="E186" s="105"/>
      <c r="T186" s="105" t="s">
        <v>367</v>
      </c>
      <c r="U186" s="108" t="s">
        <v>368</v>
      </c>
      <c r="V186" s="107">
        <v>3.4</v>
      </c>
    </row>
    <row r="187" spans="1:22">
      <c r="A187" s="105" t="s">
        <v>369</v>
      </c>
      <c r="B187" s="59">
        <f>+B186+1</f>
        <v>179</v>
      </c>
      <c r="C187" s="102">
        <v>11.7</v>
      </c>
      <c r="D187" s="92" t="str">
        <f>+A187</f>
        <v>CORTISOL (URINE)</v>
      </c>
      <c r="E187" s="105"/>
      <c r="T187" s="105" t="s">
        <v>370</v>
      </c>
      <c r="U187" s="108" t="s">
        <v>371</v>
      </c>
      <c r="V187" s="107">
        <v>10.2</v>
      </c>
    </row>
    <row r="188" spans="1:22">
      <c r="A188" s="105" t="s">
        <v>369</v>
      </c>
      <c r="B188" s="59">
        <f>+B187+1</f>
        <v>180</v>
      </c>
      <c r="C188" s="102">
        <v>11.7</v>
      </c>
      <c r="D188" s="92" t="str">
        <f>+A188</f>
        <v>CORTISOL (URINE)</v>
      </c>
      <c r="E188" s="105"/>
      <c r="T188" s="105" t="s">
        <v>372</v>
      </c>
      <c r="U188" s="108" t="s">
        <v>373</v>
      </c>
      <c r="V188" s="107">
        <v>5</v>
      </c>
    </row>
    <row r="189" spans="1:22">
      <c r="A189" s="105" t="s">
        <v>374</v>
      </c>
      <c r="B189" s="59">
        <f>+B188+1</f>
        <v>181</v>
      </c>
      <c r="C189" s="102">
        <v>24.1</v>
      </c>
      <c r="D189" s="92" t="str">
        <f>+A189</f>
        <v>CORTISONE (PLASMA)</v>
      </c>
      <c r="E189" s="105"/>
      <c r="T189" s="105" t="s">
        <v>375</v>
      </c>
      <c r="U189" s="108" t="s">
        <v>376</v>
      </c>
      <c r="V189" s="107">
        <v>5</v>
      </c>
    </row>
    <row r="190" spans="1:22">
      <c r="A190" s="105" t="s">
        <v>377</v>
      </c>
      <c r="B190" s="59">
        <f>+B189+1</f>
        <v>182</v>
      </c>
      <c r="C190" s="102">
        <v>24.1</v>
      </c>
      <c r="D190" s="92" t="str">
        <f>+A190</f>
        <v>CORTISONE (URINE)</v>
      </c>
      <c r="E190" s="105"/>
      <c r="T190" s="105" t="s">
        <v>378</v>
      </c>
      <c r="U190" s="108" t="s">
        <v>379</v>
      </c>
      <c r="V190" s="107">
        <v>9.7</v>
      </c>
    </row>
    <row r="191" spans="1:22">
      <c r="A191" s="105" t="s">
        <v>380</v>
      </c>
      <c r="B191" s="59">
        <f>+B190+1</f>
        <v>183</v>
      </c>
      <c r="C191" s="102">
        <v>24.1</v>
      </c>
      <c r="D191" s="92" t="str">
        <f>+A191</f>
        <v>COTININE (URINE)</v>
      </c>
      <c r="E191" s="105"/>
      <c r="T191" s="105" t="s">
        <v>381</v>
      </c>
      <c r="U191" s="108" t="s">
        <v>382</v>
      </c>
      <c r="V191" s="107">
        <v>9.2</v>
      </c>
    </row>
    <row r="192" spans="1:22">
      <c r="A192" s="105" t="s">
        <v>383</v>
      </c>
      <c r="B192" s="59">
        <f>+B191+1</f>
        <v>184</v>
      </c>
      <c r="C192" s="102">
        <v>24.1</v>
      </c>
      <c r="D192" s="92" t="str">
        <f>+A192</f>
        <v>COTININE (PLASMA)</v>
      </c>
      <c r="E192" s="105"/>
      <c r="T192" s="105" t="s">
        <v>384</v>
      </c>
      <c r="U192" s="111" t="s">
        <v>385</v>
      </c>
      <c r="V192" s="107">
        <v>16.6</v>
      </c>
    </row>
    <row r="193" spans="1:22">
      <c r="A193" s="105" t="s">
        <v>386</v>
      </c>
      <c r="B193" s="59">
        <f>+B192+1</f>
        <v>185</v>
      </c>
      <c r="C193" s="102">
        <v>3.4</v>
      </c>
      <c r="D193" s="92" t="str">
        <f>+A193</f>
        <v>CREATININE CLEARANCE</v>
      </c>
      <c r="E193" s="105"/>
      <c r="T193" s="105" t="s">
        <v>244</v>
      </c>
      <c r="U193" s="111" t="s">
        <v>387</v>
      </c>
      <c r="V193" s="107">
        <v>16.6</v>
      </c>
    </row>
    <row r="194" spans="1:22">
      <c r="A194" s="105" t="s">
        <v>388</v>
      </c>
      <c r="B194" s="59">
        <f>+B193+1</f>
        <v>186</v>
      </c>
      <c r="C194" s="102">
        <v>3.4</v>
      </c>
      <c r="D194" s="92" t="str">
        <f>+A194</f>
        <v>CREATININE URINE</v>
      </c>
      <c r="E194" s="105"/>
      <c r="T194" s="105" t="s">
        <v>247</v>
      </c>
      <c r="U194" s="108" t="s">
        <v>389</v>
      </c>
      <c r="V194" s="107">
        <v>12.3</v>
      </c>
    </row>
    <row r="195" spans="1:22">
      <c r="A195" s="105" t="s">
        <v>390</v>
      </c>
      <c r="B195" s="59">
        <f>+B194+1</f>
        <v>187</v>
      </c>
      <c r="C195" s="102">
        <v>3.4</v>
      </c>
      <c r="D195" s="92" t="str">
        <f>+A195</f>
        <v>CREATININE FLUID</v>
      </c>
      <c r="E195" s="105"/>
      <c r="T195" s="105" t="s">
        <v>250</v>
      </c>
      <c r="U195" s="108" t="s">
        <v>391</v>
      </c>
      <c r="V195" s="107">
        <v>12.3</v>
      </c>
    </row>
    <row r="196" spans="1:22">
      <c r="A196" s="105" t="s">
        <v>392</v>
      </c>
      <c r="B196" s="59">
        <f>+B195+1</f>
        <v>188</v>
      </c>
      <c r="C196" s="102">
        <v>17.9</v>
      </c>
      <c r="D196" s="92" t="str">
        <f>+A196</f>
        <v>CICLOSPORIN</v>
      </c>
      <c r="E196" s="105"/>
      <c r="T196" s="105" t="s">
        <v>253</v>
      </c>
      <c r="U196" s="108" t="s">
        <v>393</v>
      </c>
      <c r="V196" s="107">
        <v>12.3</v>
      </c>
    </row>
    <row r="197" spans="1:22">
      <c r="A197" s="105" t="s">
        <v>394</v>
      </c>
      <c r="B197" s="59">
        <f>+B196+1</f>
        <v>189</v>
      </c>
      <c r="C197" s="102">
        <v>32.2</v>
      </c>
      <c r="D197" s="92" t="str">
        <f>+A197</f>
        <v>CYSTINE</v>
      </c>
      <c r="E197" s="105"/>
      <c r="T197" s="105" t="s">
        <v>256</v>
      </c>
      <c r="U197" s="108" t="s">
        <v>395</v>
      </c>
      <c r="V197" s="107">
        <v>25.8</v>
      </c>
    </row>
    <row r="198" spans="1:22">
      <c r="A198" s="105" t="s">
        <v>396</v>
      </c>
      <c r="B198" s="59">
        <f>+B197+1</f>
        <v>190</v>
      </c>
      <c r="C198" s="102">
        <v>30.3</v>
      </c>
      <c r="D198" s="92" t="str">
        <f>+A198</f>
        <v>DEOXYPYRIDINOLINE (DPD) </v>
      </c>
      <c r="E198" s="105"/>
      <c r="T198" s="105" t="s">
        <v>259</v>
      </c>
      <c r="U198" s="108" t="s">
        <v>397</v>
      </c>
      <c r="V198" s="107">
        <v>28.5</v>
      </c>
    </row>
    <row r="199" spans="1:22" ht="16" thickBot="1">
      <c r="A199" s="105" t="s">
        <v>396</v>
      </c>
      <c r="B199" s="59">
        <f>+B198+1</f>
        <v>191</v>
      </c>
      <c r="C199" s="102">
        <v>30.3</v>
      </c>
      <c r="D199" s="92" t="str">
        <f>+A199</f>
        <v>DEOXYPYRIDINOLINE (DPD) </v>
      </c>
      <c r="E199" s="105"/>
      <c r="F199" s="112"/>
      <c r="G199" s="84"/>
      <c r="T199" s="105" t="s">
        <v>262</v>
      </c>
      <c r="U199" s="113" t="s">
        <v>398</v>
      </c>
      <c r="V199" s="107">
        <v>28.5</v>
      </c>
    </row>
    <row r="200" spans="1:22">
      <c r="A200" s="105" t="s">
        <v>399</v>
      </c>
      <c r="B200" s="59">
        <f>+B199+1</f>
        <v>192</v>
      </c>
      <c r="C200" s="102">
        <v>11.7</v>
      </c>
      <c r="D200" s="92" t="str">
        <f>+A200</f>
        <v>DHEA-SULPHATE</v>
      </c>
      <c r="E200" s="105"/>
      <c r="T200" s="105" t="s">
        <v>265</v>
      </c>
      <c r="U200" s="108" t="s">
        <v>400</v>
      </c>
      <c r="V200" s="107">
        <v>6.7</v>
      </c>
    </row>
    <row r="201" spans="1:22">
      <c r="A201" s="105" t="s">
        <v>401</v>
      </c>
      <c r="B201" s="59">
        <f>+B200+1</f>
        <v>193</v>
      </c>
      <c r="C201" s="102">
        <v>46.3</v>
      </c>
      <c r="D201" s="92" t="str">
        <f>+A201</f>
        <v>DRUG SCREEN</v>
      </c>
      <c r="E201" s="105"/>
      <c r="T201" s="105" t="s">
        <v>267</v>
      </c>
      <c r="U201" s="108" t="s">
        <v>402</v>
      </c>
      <c r="V201" s="107">
        <v>13.3</v>
      </c>
    </row>
    <row r="202" spans="1:22">
      <c r="A202" s="105" t="s">
        <v>403</v>
      </c>
      <c r="B202" s="59">
        <f>+B201+1</f>
        <v>194</v>
      </c>
      <c r="C202" s="102">
        <v>11.7</v>
      </c>
      <c r="D202" s="92" t="str">
        <f>+A202</f>
        <v>ETHANOL</v>
      </c>
      <c r="E202" s="105"/>
      <c r="T202" s="105" t="s">
        <v>270</v>
      </c>
      <c r="U202" s="111" t="s">
        <v>404</v>
      </c>
      <c r="V202" s="107">
        <v>11.9</v>
      </c>
    </row>
    <row r="203" spans="1:22">
      <c r="A203" s="105" t="s">
        <v>405</v>
      </c>
      <c r="B203" s="59">
        <f>+B202+1</f>
        <v>195</v>
      </c>
      <c r="C203" s="102">
        <v>36.8</v>
      </c>
      <c r="D203" s="92" t="str">
        <f>+A203</f>
        <v>FAECAL ELASTASE</v>
      </c>
      <c r="E203" s="105"/>
      <c r="T203" s="105" t="s">
        <v>273</v>
      </c>
      <c r="U203" s="108" t="s">
        <v>406</v>
      </c>
      <c r="V203" s="107">
        <v>8.5</v>
      </c>
    </row>
    <row r="204" spans="1:22">
      <c r="A204" s="105" t="s">
        <v>407</v>
      </c>
      <c r="B204" s="59">
        <f>+B203+1</f>
        <v>196</v>
      </c>
      <c r="C204" s="102">
        <v>65.2</v>
      </c>
      <c r="D204" s="92" t="str">
        <f>+A204</f>
        <v>FAECAL FAT</v>
      </c>
      <c r="E204" s="105"/>
      <c r="T204" s="105" t="s">
        <v>276</v>
      </c>
      <c r="U204" s="111" t="s">
        <v>408</v>
      </c>
      <c r="V204" s="107">
        <v>24.1</v>
      </c>
    </row>
    <row r="205" spans="1:22">
      <c r="A205" s="105" t="s">
        <v>409</v>
      </c>
      <c r="B205" s="59">
        <f>+B204+1</f>
        <v>197</v>
      </c>
      <c r="C205" s="102">
        <v>32.3</v>
      </c>
      <c r="D205" s="92" t="str">
        <f>+A205</f>
        <v>FAECAL REDUCING SUBSTANCES</v>
      </c>
      <c r="E205" s="105"/>
      <c r="T205" s="105" t="s">
        <v>279</v>
      </c>
      <c r="U205" s="108" t="s">
        <v>410</v>
      </c>
      <c r="V205" s="107">
        <v>14.7</v>
      </c>
    </row>
    <row r="206" spans="1:22">
      <c r="A206" s="105" t="s">
        <v>411</v>
      </c>
      <c r="B206" s="59">
        <f>+B205+1</f>
        <v>198</v>
      </c>
      <c r="C206" s="102">
        <v>5</v>
      </c>
      <c r="D206" s="92" t="str">
        <f>+A206</f>
        <v>REDUCING SUBSTANCES (URINE)</v>
      </c>
      <c r="E206" s="105"/>
      <c r="T206" s="105" t="s">
        <v>285</v>
      </c>
      <c r="U206" s="108" t="s">
        <v>412</v>
      </c>
      <c r="V206" s="107">
        <v>7.7</v>
      </c>
    </row>
    <row r="207" spans="1:22">
      <c r="A207" s="105" t="s">
        <v>413</v>
      </c>
      <c r="B207" s="59">
        <f>+B206+1</f>
        <v>199</v>
      </c>
      <c r="C207" s="102">
        <v>13</v>
      </c>
      <c r="D207" s="92" t="str">
        <f>+A207</f>
        <v>FREE FATTY ACIDS (PLASMA)</v>
      </c>
      <c r="E207" s="105"/>
      <c r="T207" s="105" t="s">
        <v>287</v>
      </c>
      <c r="U207" s="108" t="s">
        <v>414</v>
      </c>
      <c r="V207" s="107">
        <v>27</v>
      </c>
    </row>
    <row r="208" spans="1:22">
      <c r="A208" s="105" t="s">
        <v>415</v>
      </c>
      <c r="B208" s="59">
        <f>+B207+1</f>
        <v>200</v>
      </c>
      <c r="C208" s="102">
        <v>11.7</v>
      </c>
      <c r="D208" s="92" t="str">
        <f>+A208</f>
        <v>GASES (BLOOD)</v>
      </c>
      <c r="E208" s="105"/>
      <c r="T208" s="105" t="s">
        <v>290</v>
      </c>
      <c r="U208" s="108" t="s">
        <v>416</v>
      </c>
      <c r="V208" s="107">
        <v>5</v>
      </c>
    </row>
    <row r="209" spans="1:22">
      <c r="A209" s="105" t="s">
        <v>417</v>
      </c>
      <c r="B209" s="59">
        <f>+B208+1</f>
        <v>201</v>
      </c>
      <c r="C209" s="102">
        <v>11.5</v>
      </c>
      <c r="D209" s="92" t="str">
        <f>+A209</f>
        <v>SAMPLE HANDLING CHARGE</v>
      </c>
      <c r="E209" s="105"/>
      <c r="T209" s="105" t="s">
        <v>293</v>
      </c>
      <c r="U209" s="108" t="s">
        <v>418</v>
      </c>
      <c r="V209" s="107">
        <v>32.2</v>
      </c>
    </row>
    <row r="210" spans="1:22" ht="13" thickBot="1">
      <c r="A210" s="105" t="s">
        <v>419</v>
      </c>
      <c r="B210" s="59">
        <f>+B209+1</f>
        <v>202</v>
      </c>
      <c r="C210" s="102">
        <v>6</v>
      </c>
      <c r="D210" s="92" t="str">
        <f>+A210</f>
        <v>GENTAMICIN</v>
      </c>
      <c r="E210" s="105"/>
      <c r="T210" s="105" t="s">
        <v>296</v>
      </c>
      <c r="U210" s="113" t="s">
        <v>420</v>
      </c>
      <c r="V210" s="107">
        <v>32.2</v>
      </c>
    </row>
    <row r="211" spans="1:22">
      <c r="A211" s="105" t="s">
        <v>421</v>
      </c>
      <c r="B211" s="59">
        <f>+B210+1</f>
        <v>203</v>
      </c>
      <c r="C211" s="102">
        <v>3.4</v>
      </c>
      <c r="D211" s="92" t="str">
        <f>+A211</f>
        <v>GLUCOSE(CSF)</v>
      </c>
      <c r="E211" s="105"/>
      <c r="T211" s="105" t="s">
        <v>299</v>
      </c>
      <c r="U211" s="108" t="s">
        <v>422</v>
      </c>
      <c r="V211" s="107">
        <v>19.3</v>
      </c>
    </row>
    <row r="212" spans="1:22">
      <c r="A212" s="105" t="s">
        <v>423</v>
      </c>
      <c r="B212" s="59">
        <f>+B211+1</f>
        <v>204</v>
      </c>
      <c r="C212" s="102">
        <v>3.4</v>
      </c>
      <c r="D212" s="92" t="str">
        <f>+A212</f>
        <v>GLUCOSE (FLUID)</v>
      </c>
      <c r="E212" s="105"/>
      <c r="T212" s="105" t="s">
        <v>302</v>
      </c>
      <c r="U212" s="109" t="s">
        <v>424</v>
      </c>
      <c r="V212" s="107">
        <v>5</v>
      </c>
    </row>
    <row r="213" spans="1:22">
      <c r="A213" s="105" t="s">
        <v>425</v>
      </c>
      <c r="B213" s="59">
        <f>+B212+1</f>
        <v>205</v>
      </c>
      <c r="C213" s="102">
        <v>32.2</v>
      </c>
      <c r="D213" s="92" t="str">
        <f>+A213</f>
        <v>GLYCINE(CSF)</v>
      </c>
      <c r="E213" s="105"/>
      <c r="T213" s="105" t="s">
        <v>305</v>
      </c>
      <c r="U213" s="108" t="s">
        <v>426</v>
      </c>
      <c r="V213" s="107">
        <v>9.7</v>
      </c>
    </row>
    <row r="214" spans="1:22">
      <c r="A214" s="105" t="s">
        <v>427</v>
      </c>
      <c r="B214" s="59">
        <f>+B213+1</f>
        <v>206</v>
      </c>
      <c r="C214" s="102">
        <v>7.7</v>
      </c>
      <c r="D214" s="92" t="str">
        <f>+A214</f>
        <v>GROWTH HORMONE (SERUM)</v>
      </c>
      <c r="E214" s="105"/>
      <c r="T214" s="105" t="s">
        <v>308</v>
      </c>
      <c r="U214" s="108" t="s">
        <v>428</v>
      </c>
      <c r="V214" s="107">
        <v>9.7</v>
      </c>
    </row>
    <row r="215" spans="1:22">
      <c r="A215" s="105" t="s">
        <v>427</v>
      </c>
      <c r="B215" s="59">
        <f>+B214+1</f>
        <v>207</v>
      </c>
      <c r="C215" s="102">
        <v>7.7</v>
      </c>
      <c r="D215" s="92" t="str">
        <f>+A215</f>
        <v>GROWTH HORMONE (SERUM)</v>
      </c>
      <c r="E215" s="105"/>
      <c r="T215" s="105" t="s">
        <v>311</v>
      </c>
      <c r="U215" s="111" t="s">
        <v>429</v>
      </c>
      <c r="V215" s="107">
        <v>13.1</v>
      </c>
    </row>
    <row r="216" spans="1:22">
      <c r="A216" s="105" t="s">
        <v>430</v>
      </c>
      <c r="B216" s="59">
        <f>+B215+1</f>
        <v>208</v>
      </c>
      <c r="C216" s="102">
        <v>24.1</v>
      </c>
      <c r="D216" s="92" t="str">
        <f>+A216</f>
        <v>GUT PERMEABILITY</v>
      </c>
      <c r="E216" s="105"/>
      <c r="T216" s="105" t="s">
        <v>314</v>
      </c>
      <c r="U216" s="108" t="s">
        <v>431</v>
      </c>
      <c r="V216" s="107">
        <v>8.2</v>
      </c>
    </row>
    <row r="217" spans="1:22">
      <c r="A217" s="110" t="s">
        <v>432</v>
      </c>
      <c r="B217" s="59">
        <f>+B216+1</f>
        <v>209</v>
      </c>
      <c r="C217" s="102">
        <v>47.2</v>
      </c>
      <c r="D217" s="92" t="str">
        <f>+A217</f>
        <v>HAEM PIGMENTS (CSF)</v>
      </c>
      <c r="E217" s="110"/>
      <c r="T217" s="110" t="s">
        <v>317</v>
      </c>
      <c r="U217" s="108" t="s">
        <v>433</v>
      </c>
      <c r="V217" s="107">
        <v>9.1</v>
      </c>
    </row>
    <row r="218" spans="1:22">
      <c r="A218" s="110" t="s">
        <v>434</v>
      </c>
      <c r="B218" s="59">
        <f>+B217+1</f>
        <v>210</v>
      </c>
      <c r="C218" s="102">
        <v>6</v>
      </c>
      <c r="D218" s="92" t="str">
        <f>+A218</f>
        <v>HBA1c</v>
      </c>
      <c r="E218" s="110"/>
      <c r="T218" s="110" t="s">
        <v>320</v>
      </c>
      <c r="U218" s="108" t="s">
        <v>435</v>
      </c>
      <c r="V218" s="107">
        <v>19.7</v>
      </c>
    </row>
    <row r="219" spans="1:22">
      <c r="A219" s="105" t="s">
        <v>436</v>
      </c>
      <c r="B219" s="59">
        <f>+B218+1</f>
        <v>211</v>
      </c>
      <c r="C219" s="102">
        <v>11.9</v>
      </c>
      <c r="D219" s="92" t="str">
        <f>+A219</f>
        <v>HCG (CSF)</v>
      </c>
      <c r="E219" s="105"/>
      <c r="T219" s="105" t="s">
        <v>323</v>
      </c>
      <c r="U219" s="108" t="s">
        <v>437</v>
      </c>
      <c r="V219" s="107">
        <v>11.7</v>
      </c>
    </row>
    <row r="220" spans="1:22">
      <c r="A220" s="105" t="s">
        <v>438</v>
      </c>
      <c r="B220" s="59">
        <f>+B219+1</f>
        <v>212</v>
      </c>
      <c r="C220" s="102">
        <v>32.3</v>
      </c>
      <c r="D220" s="92" t="str">
        <f>+A220</f>
        <v>HOMOCYSTINE</v>
      </c>
      <c r="E220" s="105"/>
      <c r="T220" s="105" t="s">
        <v>324</v>
      </c>
      <c r="U220" s="108" t="s">
        <v>439</v>
      </c>
      <c r="V220" s="107">
        <v>13.6</v>
      </c>
    </row>
    <row r="221" spans="1:22" ht="13" thickBot="1">
      <c r="A221" s="105" t="s">
        <v>440</v>
      </c>
      <c r="B221" s="59">
        <f>+B220+1</f>
        <v>213</v>
      </c>
      <c r="C221" s="102">
        <v>30.7</v>
      </c>
      <c r="D221" s="92" t="str">
        <f>+A221</f>
        <v>HYALURONIC ACID</v>
      </c>
      <c r="E221" s="105"/>
      <c r="T221" s="105" t="s">
        <v>325</v>
      </c>
      <c r="U221" s="114" t="s">
        <v>441</v>
      </c>
      <c r="V221" s="107">
        <v>16.3</v>
      </c>
    </row>
    <row r="222" spans="1:22">
      <c r="A222" s="105" t="s">
        <v>442</v>
      </c>
      <c r="B222" s="59">
        <f>+B221+1</f>
        <v>214</v>
      </c>
      <c r="C222" s="102">
        <v>55.39</v>
      </c>
      <c r="D222" s="92" t="str">
        <f>+A222</f>
        <v>HYDROXYBUTYRATE</v>
      </c>
      <c r="E222" s="105"/>
      <c r="T222" s="105" t="s">
        <v>328</v>
      </c>
      <c r="U222" s="108" t="s">
        <v>443</v>
      </c>
      <c r="V222" s="107">
        <v>16.3</v>
      </c>
    </row>
    <row r="223" spans="1:22">
      <c r="A223" s="105" t="s">
        <v>444</v>
      </c>
      <c r="B223" s="59">
        <f>+B222+1</f>
        <v>215</v>
      </c>
      <c r="C223" s="102">
        <v>32.3</v>
      </c>
      <c r="D223" s="92" t="str">
        <f>+A223</f>
        <v>HYDROXYPROLINE</v>
      </c>
      <c r="E223" s="105"/>
      <c r="T223" s="105" t="s">
        <v>331</v>
      </c>
      <c r="U223" s="111" t="s">
        <v>445</v>
      </c>
      <c r="V223" s="107">
        <v>9.1</v>
      </c>
    </row>
    <row r="224" spans="1:22" ht="13" thickBot="1">
      <c r="A224" s="105" t="s">
        <v>446</v>
      </c>
      <c r="B224" s="59">
        <f>+B223+1</f>
        <v>216</v>
      </c>
      <c r="C224" s="102">
        <v>9</v>
      </c>
      <c r="D224" s="92" t="str">
        <f>+A224</f>
        <v>INSULIN</v>
      </c>
      <c r="E224" s="105"/>
      <c r="T224" s="105" t="s">
        <v>334</v>
      </c>
      <c r="U224" s="113" t="s">
        <v>447</v>
      </c>
      <c r="V224" s="107">
        <v>33.2</v>
      </c>
    </row>
    <row r="225" spans="1:22">
      <c r="A225" s="110" t="s">
        <v>448</v>
      </c>
      <c r="B225" s="59">
        <f>+B224+1</f>
        <v>217</v>
      </c>
      <c r="C225" s="102">
        <v>5.9</v>
      </c>
      <c r="D225" s="92" t="str">
        <f>+A225</f>
        <v>LACTATE (VENOUS PLASMA)</v>
      </c>
      <c r="E225" s="110"/>
      <c r="T225" s="110" t="s">
        <v>337</v>
      </c>
      <c r="U225" s="108" t="s">
        <v>449</v>
      </c>
      <c r="V225" s="107">
        <v>8.3</v>
      </c>
    </row>
    <row r="226" spans="1:22">
      <c r="A226" s="110" t="s">
        <v>450</v>
      </c>
      <c r="B226" s="59">
        <f>+B225+1</f>
        <v>218</v>
      </c>
      <c r="C226" s="102">
        <v>4.5</v>
      </c>
      <c r="D226" s="92" t="str">
        <f>+A226</f>
        <v>LDH (FLUID)</v>
      </c>
      <c r="E226" s="110"/>
      <c r="T226" s="110" t="s">
        <v>340</v>
      </c>
      <c r="U226" s="108" t="s">
        <v>451</v>
      </c>
      <c r="V226" s="107">
        <v>10.4</v>
      </c>
    </row>
    <row r="227" spans="1:22">
      <c r="A227" s="105" t="s">
        <v>283</v>
      </c>
      <c r="B227" s="59">
        <f>+B226+1</f>
        <v>219</v>
      </c>
      <c r="C227" s="102">
        <v>3.4</v>
      </c>
      <c r="D227" s="92" t="str">
        <f>+A227</f>
        <v>CHOLESTEROL</v>
      </c>
      <c r="E227" s="105"/>
      <c r="T227" s="105" t="s">
        <v>343</v>
      </c>
      <c r="U227" s="108" t="s">
        <v>452</v>
      </c>
      <c r="V227" s="107">
        <v>13</v>
      </c>
    </row>
    <row r="228" spans="1:22">
      <c r="A228" s="105" t="s">
        <v>318</v>
      </c>
      <c r="B228" s="59">
        <f>+B227+1</f>
        <v>220</v>
      </c>
      <c r="C228" s="102">
        <v>7.6</v>
      </c>
      <c r="D228" s="92" t="str">
        <f>+A228</f>
        <v>HDL CHOLESTEROL</v>
      </c>
      <c r="E228" s="105"/>
      <c r="T228" s="105" t="s">
        <v>346</v>
      </c>
      <c r="U228" s="108" t="s">
        <v>453</v>
      </c>
      <c r="V228" s="107">
        <v>22.1</v>
      </c>
    </row>
    <row r="229" spans="1:22">
      <c r="A229" s="105" t="s">
        <v>367</v>
      </c>
      <c r="B229" s="59">
        <f>+B228+1</f>
        <v>221</v>
      </c>
      <c r="C229" s="102">
        <v>3.4</v>
      </c>
      <c r="D229" s="92" t="str">
        <f>+A229</f>
        <v>TRIGLYCERIDES</v>
      </c>
      <c r="E229" s="105"/>
      <c r="T229" s="105" t="s">
        <v>349</v>
      </c>
      <c r="U229" s="108" t="s">
        <v>454</v>
      </c>
      <c r="V229" s="107">
        <v>13.3</v>
      </c>
    </row>
    <row r="230" spans="1:22">
      <c r="A230" s="105" t="s">
        <v>455</v>
      </c>
      <c r="B230" s="59">
        <f>+B229+1</f>
        <v>222</v>
      </c>
      <c r="C230" s="102">
        <v>11.7</v>
      </c>
      <c r="D230" s="92" t="str">
        <f>+A230</f>
        <v>APO- LIPOPROTEIN A-1</v>
      </c>
      <c r="E230" s="105"/>
      <c r="T230" s="105" t="s">
        <v>352</v>
      </c>
      <c r="U230" s="108" t="s">
        <v>456</v>
      </c>
      <c r="V230" s="107">
        <v>28.5</v>
      </c>
    </row>
    <row r="231" spans="1:22">
      <c r="A231" s="105" t="s">
        <v>457</v>
      </c>
      <c r="B231" s="59">
        <f>+B230+1</f>
        <v>223</v>
      </c>
      <c r="C231" s="102">
        <v>11.7</v>
      </c>
      <c r="D231" s="92" t="str">
        <f>+A231</f>
        <v>APO- LIPOPROTEIN B</v>
      </c>
      <c r="E231" s="105"/>
      <c r="T231" s="105" t="s">
        <v>355</v>
      </c>
      <c r="U231" s="108" t="s">
        <v>458</v>
      </c>
      <c r="V231" s="107">
        <v>21.5</v>
      </c>
    </row>
    <row r="232" spans="1:22">
      <c r="A232" s="105" t="s">
        <v>459</v>
      </c>
      <c r="B232" s="59">
        <f>+B231+1</f>
        <v>224</v>
      </c>
      <c r="C232" s="102">
        <v>11.7</v>
      </c>
      <c r="D232" s="92" t="str">
        <f>+A232</f>
        <v>LIPOPROTEIN (a)</v>
      </c>
      <c r="E232" s="105"/>
      <c r="T232" s="105" t="s">
        <v>460</v>
      </c>
      <c r="U232" s="108" t="s">
        <v>461</v>
      </c>
      <c r="V232" s="107">
        <v>34.3</v>
      </c>
    </row>
    <row r="233" spans="1:22">
      <c r="A233" s="105" t="s">
        <v>462</v>
      </c>
      <c r="B233" s="59">
        <f>+B232+1</f>
        <v>225</v>
      </c>
      <c r="C233" s="102">
        <v>6</v>
      </c>
      <c r="D233" s="92" t="str">
        <f>+A233</f>
        <v>LITHIUM</v>
      </c>
      <c r="E233" s="105"/>
      <c r="T233" s="105" t="s">
        <v>357</v>
      </c>
      <c r="U233" s="111" t="s">
        <v>463</v>
      </c>
      <c r="V233" s="107">
        <v>11.7</v>
      </c>
    </row>
    <row r="234" spans="1:22">
      <c r="A234" s="105" t="s">
        <v>464</v>
      </c>
      <c r="B234" s="59">
        <f>+B233+1</f>
        <v>226</v>
      </c>
      <c r="C234" s="102">
        <v>19.8</v>
      </c>
      <c r="D234" s="92" t="str">
        <f>+A234</f>
        <v>MAGNESIUM (RED CELL)</v>
      </c>
      <c r="E234" s="105"/>
      <c r="T234" s="105" t="s">
        <v>360</v>
      </c>
      <c r="U234" s="108" t="s">
        <v>465</v>
      </c>
      <c r="V234" s="107">
        <v>14.6</v>
      </c>
    </row>
    <row r="235" spans="1:22">
      <c r="A235" s="105" t="s">
        <v>466</v>
      </c>
      <c r="B235" s="59">
        <f>+B234+1</f>
        <v>227</v>
      </c>
      <c r="C235" s="102">
        <v>5</v>
      </c>
      <c r="D235" s="92" t="str">
        <f>+A235</f>
        <v>MAGNESIUM (URINE)</v>
      </c>
      <c r="E235" s="105"/>
      <c r="T235" s="105" t="s">
        <v>363</v>
      </c>
      <c r="U235" s="108" t="s">
        <v>467</v>
      </c>
      <c r="V235" s="107">
        <v>11.7</v>
      </c>
    </row>
    <row r="236" spans="1:22" ht="13" thickBot="1">
      <c r="A236" s="105" t="s">
        <v>468</v>
      </c>
      <c r="B236" s="59">
        <f>+B235+1</f>
        <v>228</v>
      </c>
      <c r="C236" s="102">
        <v>13</v>
      </c>
      <c r="D236" s="92" t="str">
        <f>+A236</f>
        <v>METHAEMALBUMIN</v>
      </c>
      <c r="E236" s="105"/>
      <c r="T236" s="105" t="s">
        <v>366</v>
      </c>
      <c r="U236" s="113" t="s">
        <v>469</v>
      </c>
      <c r="V236" s="107">
        <v>11.7</v>
      </c>
    </row>
    <row r="237" spans="1:22">
      <c r="A237" s="105" t="s">
        <v>470</v>
      </c>
      <c r="B237" s="59">
        <f>+B236+1</f>
        <v>229</v>
      </c>
      <c r="C237" s="102">
        <v>7.7</v>
      </c>
      <c r="D237" s="92" t="str">
        <f>+A237</f>
        <v>METHAEMOGLOBIN</v>
      </c>
      <c r="E237" s="105"/>
      <c r="T237" s="105" t="s">
        <v>369</v>
      </c>
      <c r="U237" s="108" t="s">
        <v>471</v>
      </c>
      <c r="V237" s="107">
        <v>11.7</v>
      </c>
    </row>
    <row r="238" spans="1:22">
      <c r="A238" s="105" t="s">
        <v>472</v>
      </c>
      <c r="B238" s="59">
        <f>+B237+1</f>
        <v>230</v>
      </c>
      <c r="C238" s="102">
        <v>17.9</v>
      </c>
      <c r="D238" s="92" t="str">
        <f>+A238</f>
        <v>METHOTREXATE</v>
      </c>
      <c r="E238" s="105"/>
      <c r="T238" s="105" t="s">
        <v>374</v>
      </c>
      <c r="U238" s="108" t="s">
        <v>473</v>
      </c>
      <c r="V238" s="107">
        <v>24.1</v>
      </c>
    </row>
    <row r="239" spans="1:22">
      <c r="A239" s="105" t="s">
        <v>474</v>
      </c>
      <c r="B239" s="59">
        <f>+B238+1</f>
        <v>231</v>
      </c>
      <c r="C239" s="102">
        <v>35.2</v>
      </c>
      <c r="D239" s="92" t="str">
        <f>+A239</f>
        <v>MICROSCOPY (FAECAL)</v>
      </c>
      <c r="E239" s="105"/>
      <c r="T239" s="105" t="s">
        <v>377</v>
      </c>
      <c r="U239" s="108" t="s">
        <v>473</v>
      </c>
      <c r="V239" s="107">
        <v>24.1</v>
      </c>
    </row>
    <row r="240" spans="1:22">
      <c r="A240" s="110" t="s">
        <v>475</v>
      </c>
      <c r="B240" s="59">
        <f>+B239+1</f>
        <v>232</v>
      </c>
      <c r="C240" s="102">
        <v>25.8</v>
      </c>
      <c r="D240" s="92" t="str">
        <f>+A240</f>
        <v>MUCOPOLYSACCHARIDE SCREEN</v>
      </c>
      <c r="E240" s="110"/>
      <c r="T240" s="110" t="s">
        <v>380</v>
      </c>
      <c r="U240" s="108" t="s">
        <v>476</v>
      </c>
      <c r="V240" s="107">
        <v>24.1</v>
      </c>
    </row>
    <row r="241" spans="1:22">
      <c r="A241" s="110" t="s">
        <v>477</v>
      </c>
      <c r="B241" s="59">
        <f>+B240+1</f>
        <v>233</v>
      </c>
      <c r="C241" s="102">
        <v>20.3</v>
      </c>
      <c r="D241" s="92" t="str">
        <f>+A241</f>
        <v>MYOGLOBIN (SERUM)</v>
      </c>
      <c r="E241" s="110"/>
      <c r="T241" s="110" t="s">
        <v>383</v>
      </c>
      <c r="U241" s="108" t="s">
        <v>478</v>
      </c>
      <c r="V241" s="107">
        <v>24.1</v>
      </c>
    </row>
    <row r="242" spans="1:22">
      <c r="A242" s="110" t="s">
        <v>479</v>
      </c>
      <c r="B242" s="59">
        <f>+B241+1</f>
        <v>234</v>
      </c>
      <c r="C242" s="102">
        <v>20.3</v>
      </c>
      <c r="D242" s="92" t="str">
        <f>+A242</f>
        <v>MYOGLOBIN (URINE)</v>
      </c>
      <c r="E242" s="110"/>
      <c r="T242" s="110" t="s">
        <v>386</v>
      </c>
      <c r="U242" s="108" t="s">
        <v>480</v>
      </c>
      <c r="V242" s="107">
        <v>3.4</v>
      </c>
    </row>
    <row r="243" spans="1:22">
      <c r="A243" s="105" t="s">
        <v>481</v>
      </c>
      <c r="B243" s="59">
        <f>+B242+1</f>
        <v>235</v>
      </c>
      <c r="C243" s="102">
        <v>29</v>
      </c>
      <c r="D243" s="92" t="str">
        <f>+A243</f>
        <v>NEUROBLASTOMA SCREEN</v>
      </c>
      <c r="E243" s="105"/>
      <c r="T243" s="105" t="s">
        <v>388</v>
      </c>
      <c r="U243" s="108" t="s">
        <v>482</v>
      </c>
      <c r="V243" s="107">
        <v>3.4</v>
      </c>
    </row>
    <row r="244" spans="1:22" ht="13" thickBot="1">
      <c r="A244" s="105" t="s">
        <v>483</v>
      </c>
      <c r="B244" s="59">
        <f>+B243+1</f>
        <v>236</v>
      </c>
      <c r="C244" s="102">
        <v>7.7</v>
      </c>
      <c r="D244" s="92" t="str">
        <f>+A244</f>
        <v>OCCULT BLOOD</v>
      </c>
      <c r="E244" s="105"/>
      <c r="T244" s="105" t="s">
        <v>390</v>
      </c>
      <c r="U244" s="113" t="s">
        <v>484</v>
      </c>
      <c r="V244" s="107">
        <v>3.4</v>
      </c>
    </row>
    <row r="245" spans="1:22">
      <c r="A245" s="105" t="s">
        <v>485</v>
      </c>
      <c r="B245" s="59">
        <f>+B244+1</f>
        <v>237</v>
      </c>
      <c r="C245" s="102">
        <v>35</v>
      </c>
      <c r="D245" s="92" t="str">
        <f>+A245</f>
        <v>OUT OF HOURS (EMERGENCY)</v>
      </c>
      <c r="E245" s="105"/>
      <c r="T245" s="105" t="s">
        <v>392</v>
      </c>
      <c r="U245" s="108" t="s">
        <v>486</v>
      </c>
      <c r="V245" s="107">
        <v>17.9</v>
      </c>
    </row>
    <row r="246" spans="1:22">
      <c r="A246" s="105" t="s">
        <v>487</v>
      </c>
      <c r="B246" s="59">
        <f>+B245+1</f>
        <v>238</v>
      </c>
      <c r="C246" s="102">
        <v>22.6</v>
      </c>
      <c r="D246" s="92" t="str">
        <f>+A246</f>
        <v>ORGANIC ACIDS (URINE)</v>
      </c>
      <c r="E246" s="105"/>
      <c r="T246" s="105" t="s">
        <v>394</v>
      </c>
      <c r="U246" s="108" t="s">
        <v>488</v>
      </c>
      <c r="V246" s="107">
        <v>32.2</v>
      </c>
    </row>
    <row r="247" spans="1:22">
      <c r="A247" s="105" t="s">
        <v>489</v>
      </c>
      <c r="B247" s="59">
        <f>+B246+1</f>
        <v>239</v>
      </c>
      <c r="C247" s="102">
        <v>54.6</v>
      </c>
      <c r="D247" s="92" t="str">
        <f>+A247</f>
        <v>AMINO ACIDS (URINE)/ORGANIC ACIDS (URINE)/ </v>
      </c>
      <c r="E247" s="105"/>
      <c r="T247" s="105" t="s">
        <v>396</v>
      </c>
      <c r="U247" s="108" t="s">
        <v>490</v>
      </c>
      <c r="V247" s="107">
        <v>30.3</v>
      </c>
    </row>
    <row r="248" spans="1:22">
      <c r="A248" s="105" t="s">
        <v>491</v>
      </c>
      <c r="B248" s="59">
        <f>+B247+1</f>
        <v>240</v>
      </c>
      <c r="C248" s="102">
        <v>24.1</v>
      </c>
      <c r="D248" s="92" t="str">
        <f>+A248</f>
        <v>OROTIC ACID</v>
      </c>
      <c r="E248" s="105"/>
      <c r="T248" s="105" t="s">
        <v>399</v>
      </c>
      <c r="U248" s="108" t="s">
        <v>492</v>
      </c>
      <c r="V248" s="107">
        <v>11.7</v>
      </c>
    </row>
    <row r="249" spans="1:22">
      <c r="A249" s="105" t="s">
        <v>493</v>
      </c>
      <c r="B249" s="59">
        <f>+B248+1</f>
        <v>241</v>
      </c>
      <c r="C249" s="102">
        <v>3.4</v>
      </c>
      <c r="D249" s="92" t="str">
        <f>+A249</f>
        <v>OSMOLALITY - URINE</v>
      </c>
      <c r="E249" s="105"/>
      <c r="T249" s="105" t="s">
        <v>401</v>
      </c>
      <c r="U249" s="108" t="s">
        <v>494</v>
      </c>
      <c r="V249" s="107">
        <v>46.3</v>
      </c>
    </row>
    <row r="250" spans="1:22">
      <c r="A250" s="105" t="s">
        <v>495</v>
      </c>
      <c r="B250" s="59">
        <f>+B249+1</f>
        <v>242</v>
      </c>
      <c r="C250" s="102">
        <v>3.4</v>
      </c>
      <c r="D250" s="92" t="str">
        <f>+A250</f>
        <v>OSMOLALITY - PLASMA</v>
      </c>
      <c r="E250" s="105"/>
      <c r="T250" s="105" t="s">
        <v>403</v>
      </c>
      <c r="U250" s="108" t="s">
        <v>496</v>
      </c>
      <c r="V250" s="107">
        <v>11.7</v>
      </c>
    </row>
    <row r="251" spans="1:22">
      <c r="A251" s="105" t="s">
        <v>497</v>
      </c>
      <c r="B251" s="59">
        <f>+B250+1</f>
        <v>243</v>
      </c>
      <c r="C251" s="102">
        <v>16.3</v>
      </c>
      <c r="D251" s="92" t="str">
        <f>+A251</f>
        <v>OXALATE (TIMED URINE)</v>
      </c>
      <c r="E251" s="105"/>
      <c r="T251" s="105" t="s">
        <v>405</v>
      </c>
      <c r="U251" s="108" t="s">
        <v>498</v>
      </c>
      <c r="V251" s="107">
        <v>37.9</v>
      </c>
    </row>
    <row r="252" spans="1:22">
      <c r="A252" s="105" t="s">
        <v>499</v>
      </c>
      <c r="B252" s="59">
        <f>+B251+1</f>
        <v>244</v>
      </c>
      <c r="C252" s="102">
        <v>7.7</v>
      </c>
      <c r="D252" s="92" t="str">
        <f>+A252</f>
        <v>PARAQUAT</v>
      </c>
      <c r="E252" s="105"/>
      <c r="T252" s="105" t="s">
        <v>407</v>
      </c>
      <c r="U252" s="111" t="s">
        <v>500</v>
      </c>
      <c r="V252" s="107">
        <v>65.2</v>
      </c>
    </row>
    <row r="253" spans="1:22">
      <c r="A253" s="105" t="s">
        <v>501</v>
      </c>
      <c r="B253" s="59">
        <f>+B252+1</f>
        <v>245</v>
      </c>
      <c r="C253" s="102">
        <v>16.3</v>
      </c>
      <c r="D253" s="92" t="str">
        <f>+A253</f>
        <v>OXALATE (RANDOM URINE)</v>
      </c>
      <c r="E253" s="105"/>
      <c r="T253" s="105" t="s">
        <v>409</v>
      </c>
      <c r="U253" s="111" t="s">
        <v>502</v>
      </c>
      <c r="V253" s="107">
        <v>32.3</v>
      </c>
    </row>
    <row r="254" spans="1:22">
      <c r="A254" s="110" t="s">
        <v>503</v>
      </c>
      <c r="B254" s="59">
        <f>+B253+1</f>
        <v>246</v>
      </c>
      <c r="C254" s="102">
        <v>24.1</v>
      </c>
      <c r="D254" s="92" t="str">
        <f>+A254</f>
        <v>PHAEOCHROMOCYTOMA SCREEN</v>
      </c>
      <c r="E254" s="110"/>
      <c r="T254" s="110" t="s">
        <v>413</v>
      </c>
      <c r="U254" s="111" t="s">
        <v>504</v>
      </c>
      <c r="V254" s="107">
        <v>13</v>
      </c>
    </row>
    <row r="255" spans="1:22">
      <c r="A255" s="105" t="s">
        <v>505</v>
      </c>
      <c r="B255" s="59">
        <f>+B254+1</f>
        <v>247</v>
      </c>
      <c r="C255" s="102">
        <v>9.7</v>
      </c>
      <c r="D255" s="92" t="str">
        <f>+A255</f>
        <v>PENTOBARBITONE</v>
      </c>
      <c r="E255" s="105"/>
      <c r="T255" s="105" t="s">
        <v>415</v>
      </c>
      <c r="U255" s="111" t="s">
        <v>506</v>
      </c>
      <c r="V255" s="107">
        <v>11.7</v>
      </c>
    </row>
    <row r="256" spans="1:22">
      <c r="A256" s="105" t="s">
        <v>507</v>
      </c>
      <c r="B256" s="59">
        <f>+B255+1</f>
        <v>248</v>
      </c>
      <c r="C256" s="102">
        <v>24.1</v>
      </c>
      <c r="D256" s="92" t="str">
        <f>+A256</f>
        <v>PHENYLALANINE</v>
      </c>
      <c r="E256" s="105"/>
      <c r="T256" s="105" t="s">
        <v>508</v>
      </c>
      <c r="U256" s="108" t="s">
        <v>509</v>
      </c>
      <c r="V256" s="107">
        <v>14.6</v>
      </c>
    </row>
    <row r="257" spans="1:22">
      <c r="A257" s="105" t="s">
        <v>507</v>
      </c>
      <c r="B257" s="59">
        <f>+B256+1</f>
        <v>249</v>
      </c>
      <c r="C257" s="102">
        <v>24.1</v>
      </c>
      <c r="D257" s="92" t="str">
        <f>+A257</f>
        <v>PHENYLALANINE</v>
      </c>
      <c r="E257" s="105"/>
      <c r="T257" s="105" t="s">
        <v>417</v>
      </c>
      <c r="U257" s="111" t="s">
        <v>510</v>
      </c>
      <c r="V257" s="107">
        <v>11.5</v>
      </c>
    </row>
    <row r="258" spans="1:22">
      <c r="A258" s="105" t="s">
        <v>511</v>
      </c>
      <c r="B258" s="59">
        <f>+B257+1</f>
        <v>250</v>
      </c>
      <c r="C258" s="102">
        <v>3.4</v>
      </c>
      <c r="D258" s="92" t="str">
        <f>+A258</f>
        <v>PHOSPHATE (URINE)</v>
      </c>
      <c r="E258" s="105"/>
      <c r="T258" s="105" t="s">
        <v>421</v>
      </c>
      <c r="U258" s="111" t="s">
        <v>512</v>
      </c>
      <c r="V258" s="107">
        <v>3.4</v>
      </c>
    </row>
    <row r="259" spans="1:22">
      <c r="A259" s="105" t="s">
        <v>513</v>
      </c>
      <c r="B259" s="59">
        <f>+B258+1</f>
        <v>251</v>
      </c>
      <c r="C259" s="102">
        <v>14.7</v>
      </c>
      <c r="D259" s="92" t="str">
        <f>+A259</f>
        <v>PORPHOBILINOGEN</v>
      </c>
      <c r="E259" s="105"/>
      <c r="T259" s="105" t="s">
        <v>423</v>
      </c>
      <c r="U259" s="111" t="s">
        <v>514</v>
      </c>
      <c r="V259" s="107">
        <v>3.4</v>
      </c>
    </row>
    <row r="260" spans="1:22">
      <c r="A260" s="105" t="s">
        <v>515</v>
      </c>
      <c r="B260" s="59">
        <f>+B259+1</f>
        <v>252</v>
      </c>
      <c r="C260" s="102">
        <v>2.1</v>
      </c>
      <c r="D260" s="92" t="str">
        <f>+A260</f>
        <v>POTASSIUM (URINE)</v>
      </c>
      <c r="E260" s="105"/>
      <c r="T260" s="105" t="s">
        <v>425</v>
      </c>
      <c r="U260" s="111" t="s">
        <v>516</v>
      </c>
      <c r="V260" s="107">
        <v>14.6</v>
      </c>
    </row>
    <row r="261" spans="1:22">
      <c r="A261" s="105" t="s">
        <v>517</v>
      </c>
      <c r="B261" s="59">
        <f>+B260+1</f>
        <v>253</v>
      </c>
      <c r="C261" s="102">
        <v>6.7</v>
      </c>
      <c r="D261" s="92" t="str">
        <f>+A261</f>
        <v>PREGNANCY TEST (URINE)</v>
      </c>
      <c r="E261" s="105"/>
      <c r="T261" s="105" t="s">
        <v>427</v>
      </c>
      <c r="U261" s="108" t="s">
        <v>518</v>
      </c>
      <c r="V261" s="107">
        <v>7.7</v>
      </c>
    </row>
    <row r="262" spans="1:22">
      <c r="A262" s="110" t="s">
        <v>519</v>
      </c>
      <c r="B262" s="59">
        <f>+B261+1</f>
        <v>254</v>
      </c>
      <c r="C262" s="102">
        <v>19.7</v>
      </c>
      <c r="D262" s="92" t="str">
        <f>+A262</f>
        <v>P3NP</v>
      </c>
      <c r="E262" s="110"/>
      <c r="T262" s="110" t="s">
        <v>430</v>
      </c>
      <c r="U262" s="115"/>
      <c r="V262" s="107">
        <v>24.1</v>
      </c>
    </row>
    <row r="263" spans="1:22">
      <c r="A263" s="105" t="s">
        <v>520</v>
      </c>
      <c r="B263" s="59">
        <f>+B262+1</f>
        <v>255</v>
      </c>
      <c r="C263" s="102">
        <v>3.4</v>
      </c>
      <c r="D263" s="92" t="str">
        <f>+A263</f>
        <v>PROTEIN CREATINE RATIO (URINE)</v>
      </c>
      <c r="E263" s="105"/>
      <c r="T263" s="105" t="s">
        <v>432</v>
      </c>
      <c r="U263" s="111" t="s">
        <v>521</v>
      </c>
      <c r="V263" s="107">
        <v>47.2</v>
      </c>
    </row>
    <row r="264" spans="1:22">
      <c r="A264" s="105" t="s">
        <v>522</v>
      </c>
      <c r="B264" s="59">
        <f>+B263+1</f>
        <v>256</v>
      </c>
      <c r="C264" s="102">
        <v>3.4</v>
      </c>
      <c r="D264" s="92" t="str">
        <f>+A264</f>
        <v>PROTEIN (URINE)</v>
      </c>
      <c r="E264" s="105"/>
      <c r="T264" s="105" t="s">
        <v>434</v>
      </c>
      <c r="U264" s="108" t="s">
        <v>523</v>
      </c>
      <c r="V264" s="107">
        <v>9</v>
      </c>
    </row>
    <row r="265" spans="1:22">
      <c r="A265" s="105" t="s">
        <v>524</v>
      </c>
      <c r="B265" s="59">
        <f>+B264+1</f>
        <v>257</v>
      </c>
      <c r="C265" s="102">
        <v>3.4</v>
      </c>
      <c r="D265" s="92" t="str">
        <f>+A265</f>
        <v>PROTEIN (CSF)</v>
      </c>
      <c r="E265" s="105"/>
      <c r="T265" s="105" t="s">
        <v>438</v>
      </c>
      <c r="U265" s="108" t="s">
        <v>525</v>
      </c>
      <c r="V265" s="107">
        <v>32.3</v>
      </c>
    </row>
    <row r="266" spans="1:22">
      <c r="A266" s="105" t="s">
        <v>526</v>
      </c>
      <c r="B266" s="59">
        <f>+B265+1</f>
        <v>258</v>
      </c>
      <c r="C266" s="102">
        <v>3.4</v>
      </c>
      <c r="D266" s="92" t="str">
        <f>+A266</f>
        <v>PROTEIN (FLUID)</v>
      </c>
      <c r="E266" s="105"/>
      <c r="T266" s="105" t="s">
        <v>440</v>
      </c>
      <c r="U266" s="108" t="s">
        <v>527</v>
      </c>
      <c r="V266" s="107">
        <v>30.7</v>
      </c>
    </row>
    <row r="267" spans="1:22">
      <c r="A267" s="105" t="s">
        <v>528</v>
      </c>
      <c r="B267" s="59">
        <f>+B266+1</f>
        <v>259</v>
      </c>
      <c r="C267" s="102">
        <v>13</v>
      </c>
      <c r="D267" s="92" t="str">
        <f>+A267</f>
        <v>PTH</v>
      </c>
      <c r="E267" s="105"/>
      <c r="T267" s="105" t="s">
        <v>442</v>
      </c>
      <c r="U267" s="108" t="s">
        <v>529</v>
      </c>
      <c r="V267" s="107">
        <v>15.5</v>
      </c>
    </row>
    <row r="268" spans="1:22">
      <c r="A268" s="105" t="s">
        <v>530</v>
      </c>
      <c r="B268" s="59">
        <f>+B267+1</f>
        <v>260</v>
      </c>
      <c r="C268" s="102">
        <v>28.1</v>
      </c>
      <c r="D268" s="92" t="str">
        <f>+A268</f>
        <v>RENIN</v>
      </c>
      <c r="E268" s="105"/>
      <c r="T268" s="105" t="s">
        <v>444</v>
      </c>
      <c r="U268" s="111" t="s">
        <v>531</v>
      </c>
      <c r="V268" s="107">
        <v>32.3</v>
      </c>
    </row>
    <row r="269" spans="1:22">
      <c r="A269" s="105" t="s">
        <v>532</v>
      </c>
      <c r="B269" s="59">
        <f>+B268+1</f>
        <v>261</v>
      </c>
      <c r="C269" s="102">
        <v>11.7</v>
      </c>
      <c r="D269" s="92" t="str">
        <f>+A269</f>
        <v>SHBG</v>
      </c>
      <c r="E269" s="105"/>
      <c r="T269" s="105" t="s">
        <v>446</v>
      </c>
      <c r="U269" s="108" t="s">
        <v>533</v>
      </c>
      <c r="V269" s="107">
        <v>9</v>
      </c>
    </row>
    <row r="270" spans="1:22">
      <c r="A270" s="105" t="s">
        <v>534</v>
      </c>
      <c r="B270" s="59">
        <f>+B269+1</f>
        <v>262</v>
      </c>
      <c r="C270" s="102">
        <v>25.8</v>
      </c>
      <c r="D270" s="92" t="str">
        <f>+A270</f>
        <v>SIROLIMUS</v>
      </c>
      <c r="E270" s="105"/>
      <c r="T270" s="105" t="s">
        <v>448</v>
      </c>
      <c r="U270" s="111" t="s">
        <v>535</v>
      </c>
      <c r="V270" s="107">
        <v>5.9</v>
      </c>
    </row>
    <row r="271" spans="1:22">
      <c r="A271" s="105" t="s">
        <v>536</v>
      </c>
      <c r="B271" s="59">
        <f>+B270+1</f>
        <v>263</v>
      </c>
      <c r="C271" s="102">
        <v>2.1</v>
      </c>
      <c r="D271" s="92" t="str">
        <f>+A271</f>
        <v>SODIUM (URINE)</v>
      </c>
      <c r="E271" s="105"/>
      <c r="T271" s="105" t="s">
        <v>450</v>
      </c>
      <c r="U271" s="111" t="s">
        <v>537</v>
      </c>
      <c r="V271" s="107">
        <v>4.5</v>
      </c>
    </row>
    <row r="272" spans="1:22">
      <c r="A272" s="105" t="s">
        <v>538</v>
      </c>
      <c r="B272" s="59">
        <f>+B271+1</f>
        <v>264</v>
      </c>
      <c r="C272" s="102">
        <v>16.3</v>
      </c>
      <c r="D272" s="92" t="str">
        <f>+A272</f>
        <v>IGF-1 SOMATOMEDIN C </v>
      </c>
      <c r="E272" s="105"/>
      <c r="T272" s="105" t="s">
        <v>283</v>
      </c>
      <c r="U272" s="109" t="s">
        <v>284</v>
      </c>
      <c r="V272" s="107">
        <v>3.4</v>
      </c>
    </row>
    <row r="273" spans="1:22">
      <c r="A273" s="105" t="s">
        <v>539</v>
      </c>
      <c r="B273" s="59">
        <f>+B272+1</f>
        <v>265</v>
      </c>
      <c r="C273" s="102">
        <v>30</v>
      </c>
      <c r="D273" s="92" t="str">
        <f>+A273</f>
        <v>STONE ANALYSIS - FTIR</v>
      </c>
      <c r="E273" s="105"/>
      <c r="T273" s="105" t="s">
        <v>318</v>
      </c>
      <c r="U273" s="109" t="s">
        <v>319</v>
      </c>
      <c r="V273" s="107">
        <v>7.6</v>
      </c>
    </row>
    <row r="274" spans="1:22">
      <c r="A274" s="105" t="s">
        <v>540</v>
      </c>
      <c r="B274" s="59">
        <f>+B273+1</f>
        <v>266</v>
      </c>
      <c r="C274" s="102">
        <v>29</v>
      </c>
      <c r="D274" s="92" t="str">
        <f>+A274</f>
        <v>SUGAR CHROMATOGRAPHY FAECAL</v>
      </c>
      <c r="E274" s="105"/>
      <c r="T274" s="105" t="s">
        <v>367</v>
      </c>
      <c r="U274" s="109" t="s">
        <v>368</v>
      </c>
      <c r="V274" s="107">
        <v>3.4</v>
      </c>
    </row>
    <row r="275" spans="1:22">
      <c r="A275" s="105" t="s">
        <v>541</v>
      </c>
      <c r="B275" s="59">
        <f>+B274+1</f>
        <v>267</v>
      </c>
      <c r="C275" s="102">
        <v>29</v>
      </c>
      <c r="D275" s="92" t="str">
        <f>+A275</f>
        <v>SUGAR CHROMATOGRAPHY URINE</v>
      </c>
      <c r="E275" s="105"/>
      <c r="T275" s="105" t="s">
        <v>455</v>
      </c>
      <c r="U275" s="115"/>
      <c r="V275" s="107">
        <v>11.7</v>
      </c>
    </row>
    <row r="276" spans="1:22">
      <c r="A276" s="105" t="s">
        <v>542</v>
      </c>
      <c r="B276" s="59">
        <f>+B275+1</f>
        <v>268</v>
      </c>
      <c r="C276" s="102">
        <v>36.9</v>
      </c>
      <c r="D276" s="92" t="str">
        <f>+A276</f>
        <v>SWEAT TEST</v>
      </c>
      <c r="E276" s="105"/>
      <c r="T276" s="105" t="s">
        <v>457</v>
      </c>
      <c r="U276" s="115"/>
      <c r="V276" s="107">
        <v>11.7</v>
      </c>
    </row>
    <row r="277" spans="1:22">
      <c r="A277" s="105" t="s">
        <v>543</v>
      </c>
      <c r="B277" s="59">
        <f>+B276+1</f>
        <v>269</v>
      </c>
      <c r="C277" s="102">
        <v>8.5</v>
      </c>
      <c r="D277" s="92" t="str">
        <f>+A277</f>
        <v>TESTOSTERONE</v>
      </c>
      <c r="E277" s="105"/>
      <c r="T277" s="105" t="s">
        <v>459</v>
      </c>
      <c r="U277" s="115"/>
      <c r="V277" s="107">
        <v>11.7</v>
      </c>
    </row>
    <row r="278" spans="1:22">
      <c r="A278" s="105" t="s">
        <v>544</v>
      </c>
      <c r="B278" s="59">
        <f>+B277+1</f>
        <v>270</v>
      </c>
      <c r="C278" s="102">
        <v>12.3</v>
      </c>
      <c r="D278" s="92" t="str">
        <f>+A278</f>
        <v>THYROGLOBULIN</v>
      </c>
      <c r="E278" s="105"/>
      <c r="T278" s="105" t="s">
        <v>462</v>
      </c>
      <c r="U278" s="108" t="s">
        <v>545</v>
      </c>
      <c r="V278" s="107">
        <v>6</v>
      </c>
    </row>
    <row r="279" spans="1:22">
      <c r="A279" s="110" t="s">
        <v>546</v>
      </c>
      <c r="B279" s="59">
        <f>+B278+1</f>
        <v>271</v>
      </c>
      <c r="C279" s="102">
        <v>12.3</v>
      </c>
      <c r="D279" s="92" t="str">
        <f>+A279</f>
        <v>THYROGLOBULIN ANTIBODIES</v>
      </c>
      <c r="E279" s="110"/>
      <c r="T279" s="110" t="s">
        <v>464</v>
      </c>
      <c r="U279" s="108" t="s">
        <v>547</v>
      </c>
      <c r="V279" s="107">
        <v>19.8</v>
      </c>
    </row>
    <row r="280" spans="1:22">
      <c r="A280" s="110" t="s">
        <v>548</v>
      </c>
      <c r="B280" s="59">
        <f>+B279+1</f>
        <v>272</v>
      </c>
      <c r="C280" s="102">
        <v>12.5</v>
      </c>
      <c r="D280" s="92" t="str">
        <f>+A280</f>
        <v>THYROGLOBULIN TITRE </v>
      </c>
      <c r="E280" s="110"/>
      <c r="T280" s="110" t="s">
        <v>466</v>
      </c>
      <c r="U280" s="108" t="s">
        <v>549</v>
      </c>
      <c r="V280" s="107">
        <v>5</v>
      </c>
    </row>
    <row r="281" spans="1:22">
      <c r="A281" s="110" t="s">
        <v>550</v>
      </c>
      <c r="B281" s="59">
        <f>+B280+1</f>
        <v>273</v>
      </c>
      <c r="C281" s="102">
        <v>6</v>
      </c>
      <c r="D281" s="92" t="str">
        <f>+A281</f>
        <v>TOBRAMYCIN</v>
      </c>
      <c r="E281" s="110"/>
      <c r="T281" s="110" t="s">
        <v>468</v>
      </c>
      <c r="U281" s="108" t="s">
        <v>551</v>
      </c>
      <c r="V281" s="107">
        <v>13</v>
      </c>
    </row>
    <row r="282" spans="1:22">
      <c r="A282" s="110" t="s">
        <v>552</v>
      </c>
      <c r="B282" s="59">
        <f>+B281+1</f>
        <v>274</v>
      </c>
      <c r="C282" s="102">
        <v>20</v>
      </c>
      <c r="D282" s="92" t="str">
        <f>+A282</f>
        <v>TPMT</v>
      </c>
      <c r="E282" s="110"/>
      <c r="T282" s="110" t="s">
        <v>470</v>
      </c>
      <c r="U282" s="108" t="s">
        <v>553</v>
      </c>
      <c r="V282" s="107">
        <v>7.7</v>
      </c>
    </row>
    <row r="283" spans="1:22">
      <c r="A283" s="105" t="s">
        <v>370</v>
      </c>
      <c r="B283" s="59">
        <f>+B282+1</f>
        <v>275</v>
      </c>
      <c r="C283" s="102">
        <v>10.2</v>
      </c>
      <c r="D283" s="92" t="str">
        <f>+A283</f>
        <v>TROPONIN - I</v>
      </c>
      <c r="E283" s="105"/>
      <c r="T283" s="105" t="s">
        <v>472</v>
      </c>
      <c r="U283" s="108" t="s">
        <v>554</v>
      </c>
      <c r="V283" s="107">
        <v>17.9</v>
      </c>
    </row>
    <row r="284" spans="1:22">
      <c r="A284" s="110" t="s">
        <v>555</v>
      </c>
      <c r="B284" s="59">
        <f>+B283+1</f>
        <v>276</v>
      </c>
      <c r="C284" s="102">
        <v>4.3</v>
      </c>
      <c r="D284" s="92" t="str">
        <f>+A284</f>
        <v>URINE  ANALYSIS</v>
      </c>
      <c r="E284" s="110"/>
      <c r="T284" s="110" t="s">
        <v>474</v>
      </c>
      <c r="U284" s="108" t="s">
        <v>556</v>
      </c>
      <c r="V284" s="107">
        <v>35.2</v>
      </c>
    </row>
    <row r="285" spans="1:22">
      <c r="A285" s="105" t="s">
        <v>557</v>
      </c>
      <c r="B285" s="59">
        <f>+B284+1</f>
        <v>277</v>
      </c>
      <c r="C285" s="102">
        <v>2.1</v>
      </c>
      <c r="D285" s="92" t="str">
        <f>+A285</f>
        <v>UREA (URINE)</v>
      </c>
      <c r="E285" s="105"/>
      <c r="T285" s="105" t="s">
        <v>475</v>
      </c>
      <c r="U285" s="108" t="s">
        <v>558</v>
      </c>
      <c r="V285" s="107">
        <v>25.8</v>
      </c>
    </row>
    <row r="286" spans="1:22">
      <c r="A286" s="105" t="s">
        <v>559</v>
      </c>
      <c r="B286" s="59">
        <f>+B285+1</f>
        <v>278</v>
      </c>
      <c r="C286" s="102">
        <v>2.1</v>
      </c>
      <c r="D286" s="92" t="str">
        <f>+A286</f>
        <v>URATE (URINE)</v>
      </c>
      <c r="E286" s="105"/>
      <c r="T286" s="105" t="s">
        <v>477</v>
      </c>
      <c r="U286" s="108" t="s">
        <v>560</v>
      </c>
      <c r="V286" s="107">
        <v>20.3</v>
      </c>
    </row>
    <row r="287" spans="1:22">
      <c r="A287" s="105" t="s">
        <v>561</v>
      </c>
      <c r="B287" s="59">
        <f>+B286+1</f>
        <v>279</v>
      </c>
      <c r="C287" s="102">
        <v>5.9</v>
      </c>
      <c r="D287" s="92" t="str">
        <f>+A287</f>
        <v>UROBILINOGEN</v>
      </c>
      <c r="E287" s="105"/>
      <c r="T287" s="105" t="s">
        <v>479</v>
      </c>
      <c r="U287" s="108" t="s">
        <v>562</v>
      </c>
      <c r="V287" s="107">
        <v>20.3</v>
      </c>
    </row>
    <row r="288" spans="1:22">
      <c r="A288" s="105" t="s">
        <v>563</v>
      </c>
      <c r="B288" s="59">
        <f>+B287+1</f>
        <v>280</v>
      </c>
      <c r="C288" s="102">
        <v>5</v>
      </c>
      <c r="D288" s="92" t="str">
        <f>+A288</f>
        <v>UROPORPHYRIN</v>
      </c>
      <c r="E288" s="105"/>
      <c r="T288" s="105" t="s">
        <v>481</v>
      </c>
      <c r="U288" s="108" t="s">
        <v>564</v>
      </c>
      <c r="V288" s="107">
        <v>29</v>
      </c>
    </row>
    <row r="289" spans="1:22">
      <c r="A289" s="105" t="s">
        <v>565</v>
      </c>
      <c r="B289" s="59">
        <f>+B288+1</f>
        <v>281</v>
      </c>
      <c r="C289" s="102">
        <v>6</v>
      </c>
      <c r="D289" s="92" t="str">
        <f>+A289</f>
        <v>VANCOMYCIN</v>
      </c>
      <c r="E289" s="105"/>
      <c r="T289" s="105" t="s">
        <v>483</v>
      </c>
      <c r="U289" s="108" t="s">
        <v>566</v>
      </c>
      <c r="V289" s="107">
        <v>7.7</v>
      </c>
    </row>
    <row r="290" spans="1:22">
      <c r="A290" s="105" t="s">
        <v>567</v>
      </c>
      <c r="B290" s="59">
        <f>+B289+1</f>
        <v>282</v>
      </c>
      <c r="C290" s="102">
        <v>12.5</v>
      </c>
      <c r="D290" s="92" t="str">
        <f>+A290</f>
        <v>VITAMIN A (PLASMA)</v>
      </c>
      <c r="E290" s="105"/>
      <c r="T290" s="105" t="s">
        <v>568</v>
      </c>
      <c r="U290" s="111" t="s">
        <v>569</v>
      </c>
      <c r="V290" s="107">
        <v>35</v>
      </c>
    </row>
    <row r="291" spans="1:22">
      <c r="A291" s="105" t="s">
        <v>570</v>
      </c>
      <c r="B291" s="59">
        <f>+B290+1</f>
        <v>283</v>
      </c>
      <c r="C291" s="102">
        <v>26.1</v>
      </c>
      <c r="D291" s="92" t="str">
        <f>+A291</f>
        <v>VITAMIN A &amp; E (PLASMA)</v>
      </c>
      <c r="E291" s="105"/>
      <c r="T291" s="105" t="s">
        <v>487</v>
      </c>
      <c r="U291" s="108" t="s">
        <v>571</v>
      </c>
      <c r="V291" s="107">
        <v>22.6</v>
      </c>
    </row>
    <row r="292" spans="1:22">
      <c r="A292" s="105" t="s">
        <v>572</v>
      </c>
      <c r="B292" s="59">
        <f>+B291+1</f>
        <v>284</v>
      </c>
      <c r="C292" s="102">
        <v>27.2</v>
      </c>
      <c r="D292" s="92" t="str">
        <f>+A292</f>
        <v>VITAMIN C</v>
      </c>
      <c r="E292" s="105"/>
      <c r="T292" s="105" t="s">
        <v>489</v>
      </c>
      <c r="U292" s="108" t="s">
        <v>573</v>
      </c>
      <c r="V292" s="107">
        <v>54.6</v>
      </c>
    </row>
    <row r="293" spans="1:22">
      <c r="A293" s="105" t="s">
        <v>574</v>
      </c>
      <c r="B293" s="59">
        <f>+B292+1</f>
        <v>285</v>
      </c>
      <c r="C293" s="102">
        <v>24</v>
      </c>
      <c r="D293" s="92" t="str">
        <f>+A293</f>
        <v>VITAMIN D (25OHCC)</v>
      </c>
      <c r="E293" s="105"/>
      <c r="T293" s="105" t="s">
        <v>491</v>
      </c>
      <c r="U293" s="108" t="s">
        <v>575</v>
      </c>
      <c r="V293" s="107">
        <v>24.1</v>
      </c>
    </row>
    <row r="294" spans="1:22">
      <c r="A294" s="105" t="s">
        <v>576</v>
      </c>
      <c r="B294" s="59">
        <f>+B293+1</f>
        <v>286</v>
      </c>
      <c r="C294" s="102">
        <v>19</v>
      </c>
      <c r="D294" s="92" t="str">
        <f>+A294</f>
        <v>TACROLIMUS</v>
      </c>
      <c r="E294" s="105"/>
      <c r="T294" s="105" t="s">
        <v>493</v>
      </c>
      <c r="U294" s="108" t="s">
        <v>577</v>
      </c>
      <c r="V294" s="107">
        <v>3.4</v>
      </c>
    </row>
    <row r="295" spans="1:22">
      <c r="A295" s="105" t="s">
        <v>574</v>
      </c>
      <c r="B295" s="59">
        <f>+B294+1</f>
        <v>287</v>
      </c>
      <c r="C295" s="102">
        <v>24</v>
      </c>
      <c r="D295" s="92" t="str">
        <f>+A295</f>
        <v>VITAMIN D (25OHCC)</v>
      </c>
      <c r="E295" s="105"/>
      <c r="T295" s="105" t="s">
        <v>495</v>
      </c>
      <c r="U295" s="108" t="s">
        <v>578</v>
      </c>
      <c r="V295" s="107">
        <v>3.4</v>
      </c>
    </row>
    <row r="296" spans="1:22">
      <c r="A296" s="105" t="s">
        <v>579</v>
      </c>
      <c r="B296" s="59">
        <f>+B295+1</f>
        <v>288</v>
      </c>
      <c r="C296" s="102">
        <v>12.5</v>
      </c>
      <c r="D296" s="92" t="str">
        <f>+A296</f>
        <v>VITAMIN E (PLASMA)</v>
      </c>
      <c r="E296" s="105"/>
      <c r="T296" s="105" t="s">
        <v>497</v>
      </c>
      <c r="U296" s="108" t="s">
        <v>580</v>
      </c>
      <c r="V296" s="107">
        <v>16.3</v>
      </c>
    </row>
    <row r="297" spans="1:22">
      <c r="A297" s="105" t="s">
        <v>581</v>
      </c>
      <c r="B297" s="59">
        <f>+B296+1</f>
        <v>289</v>
      </c>
      <c r="C297" s="102">
        <v>66.4</v>
      </c>
      <c r="D297" s="92" t="str">
        <f>+A297</f>
        <v>VITAMINS A E &amp; D IGF1</v>
      </c>
      <c r="E297" s="105"/>
      <c r="T297" s="105" t="s">
        <v>499</v>
      </c>
      <c r="U297" s="108" t="s">
        <v>582</v>
      </c>
      <c r="V297" s="107">
        <v>7.7</v>
      </c>
    </row>
    <row r="298" spans="1:22">
      <c r="A298" s="105" t="s">
        <v>583</v>
      </c>
      <c r="B298" s="59">
        <f>+B297+1</f>
        <v>290</v>
      </c>
      <c r="C298" s="102">
        <v>60.1</v>
      </c>
      <c r="D298" s="92" t="str">
        <f>+A298</f>
        <v>DOXEPIN</v>
      </c>
      <c r="E298" s="105"/>
      <c r="T298" s="105" t="s">
        <v>501</v>
      </c>
      <c r="U298" s="108" t="s">
        <v>584</v>
      </c>
      <c r="V298" s="107">
        <v>16.3</v>
      </c>
    </row>
    <row r="299" spans="1:22">
      <c r="A299" s="105" t="s">
        <v>585</v>
      </c>
      <c r="B299" s="59">
        <f>+B298+1</f>
        <v>291</v>
      </c>
      <c r="C299" s="102">
        <v>27.5</v>
      </c>
      <c r="D299" s="92" t="str">
        <f>+A299</f>
        <v>CYSTINE / CREATININE</v>
      </c>
      <c r="E299" s="105"/>
      <c r="T299" s="105" t="s">
        <v>503</v>
      </c>
      <c r="U299" s="108" t="s">
        <v>586</v>
      </c>
      <c r="V299" s="107">
        <v>24.1</v>
      </c>
    </row>
    <row r="300" spans="1:22">
      <c r="A300" s="105" t="s">
        <v>587</v>
      </c>
      <c r="B300" s="59">
        <f>+B299+1</f>
        <v>292</v>
      </c>
      <c r="C300" s="102">
        <v>35</v>
      </c>
      <c r="D300" s="92" t="str">
        <f>+A300</f>
        <v>TSH RECEPTOR ANTIBODIES</v>
      </c>
      <c r="E300" s="105"/>
      <c r="T300" s="105" t="s">
        <v>507</v>
      </c>
      <c r="U300" s="111" t="s">
        <v>588</v>
      </c>
      <c r="V300" s="107">
        <v>24.1</v>
      </c>
    </row>
    <row r="301" spans="1:22" ht="13">
      <c r="A301" s="116" t="s">
        <v>242</v>
      </c>
      <c r="B301" s="59">
        <f>+B300+1</f>
        <v>293</v>
      </c>
      <c r="C301" s="102">
        <v>0</v>
      </c>
      <c r="D301" s="103" t="str">
        <f>+A301</f>
        <v>Clinical Biochemistry</v>
      </c>
      <c r="E301" s="105"/>
      <c r="T301" s="105" t="s">
        <v>511</v>
      </c>
      <c r="U301" s="108" t="s">
        <v>589</v>
      </c>
      <c r="V301" s="107">
        <v>3.4</v>
      </c>
    </row>
    <row r="302" spans="1:22">
      <c r="A302" s="117" t="s">
        <v>248</v>
      </c>
      <c r="B302" s="59">
        <f>+B301+1</f>
        <v>294</v>
      </c>
      <c r="C302" s="102">
        <v>5</v>
      </c>
      <c r="D302" s="92" t="str">
        <f>+A302</f>
        <v>RENAL PROFILE</v>
      </c>
      <c r="E302" s="105"/>
      <c r="T302" s="105" t="s">
        <v>513</v>
      </c>
      <c r="U302" s="108" t="s">
        <v>590</v>
      </c>
      <c r="V302" s="107">
        <v>14.7</v>
      </c>
    </row>
    <row r="303" spans="1:22">
      <c r="A303" s="117" t="s">
        <v>251</v>
      </c>
      <c r="B303" s="59">
        <f>+B302+1</f>
        <v>295</v>
      </c>
      <c r="C303" s="102">
        <v>5</v>
      </c>
      <c r="D303" s="92" t="str">
        <f>+A303</f>
        <v>BONE PROFILE</v>
      </c>
      <c r="E303" s="105"/>
      <c r="T303" s="105" t="s">
        <v>591</v>
      </c>
      <c r="U303" s="108" t="s">
        <v>592</v>
      </c>
      <c r="V303" s="107">
        <v>37.9</v>
      </c>
    </row>
    <row r="304" spans="1:22">
      <c r="A304" s="117" t="s">
        <v>254</v>
      </c>
      <c r="B304" s="59">
        <f>+B303+1</f>
        <v>296</v>
      </c>
      <c r="C304" s="102">
        <v>5</v>
      </c>
      <c r="D304" s="92" t="str">
        <f>+A304</f>
        <v>LIVER PROFILE</v>
      </c>
      <c r="E304" s="105"/>
      <c r="T304" s="105" t="s">
        <v>593</v>
      </c>
      <c r="U304" s="108" t="s">
        <v>594</v>
      </c>
      <c r="V304" s="107">
        <v>37.9</v>
      </c>
    </row>
    <row r="305" spans="1:22">
      <c r="A305" s="117" t="s">
        <v>257</v>
      </c>
      <c r="B305" s="59">
        <f>+B304+1</f>
        <v>297</v>
      </c>
      <c r="C305" s="102">
        <v>13.1</v>
      </c>
      <c r="D305" s="92" t="str">
        <f>+A305</f>
        <v>TPN PROFILE</v>
      </c>
      <c r="E305" s="105"/>
      <c r="T305" s="105" t="s">
        <v>595</v>
      </c>
      <c r="U305" s="108" t="s">
        <v>589</v>
      </c>
      <c r="V305" s="107">
        <v>11.7</v>
      </c>
    </row>
    <row r="306" spans="1:22">
      <c r="A306" s="117" t="s">
        <v>260</v>
      </c>
      <c r="B306" s="59">
        <f>+B305+1</f>
        <v>298</v>
      </c>
      <c r="C306" s="102">
        <v>11.9</v>
      </c>
      <c r="D306" s="92" t="str">
        <f>+A306</f>
        <v>AFP</v>
      </c>
      <c r="E306" s="105"/>
      <c r="T306" s="105" t="s">
        <v>515</v>
      </c>
      <c r="U306" s="108" t="s">
        <v>596</v>
      </c>
      <c r="V306" s="107">
        <v>2.1</v>
      </c>
    </row>
    <row r="307" spans="1:22">
      <c r="A307" s="117" t="s">
        <v>263</v>
      </c>
      <c r="B307" s="59">
        <f>+B306+1</f>
        <v>299</v>
      </c>
      <c r="C307" s="102">
        <v>5</v>
      </c>
      <c r="D307" s="92" t="str">
        <f>+A307</f>
        <v>AMYLASE</v>
      </c>
      <c r="E307" s="105"/>
      <c r="T307" s="105" t="s">
        <v>517</v>
      </c>
      <c r="U307" s="108" t="s">
        <v>597</v>
      </c>
      <c r="V307" s="107">
        <v>6.7</v>
      </c>
    </row>
    <row r="308" spans="1:22">
      <c r="A308" s="117" t="s">
        <v>266</v>
      </c>
      <c r="B308" s="59">
        <f>+B307+1</f>
        <v>300</v>
      </c>
      <c r="C308" s="102">
        <v>4.8</v>
      </c>
      <c r="D308" s="92" t="str">
        <f>+A308</f>
        <v>AST</v>
      </c>
      <c r="E308" s="105"/>
      <c r="T308" s="105" t="s">
        <v>519</v>
      </c>
      <c r="U308" s="111" t="s">
        <v>519</v>
      </c>
      <c r="V308" s="107">
        <v>19.7</v>
      </c>
    </row>
    <row r="309" spans="1:22">
      <c r="A309" s="117" t="s">
        <v>268</v>
      </c>
      <c r="B309" s="59">
        <f>+B308+1</f>
        <v>301</v>
      </c>
      <c r="C309" s="102">
        <v>4.4</v>
      </c>
      <c r="D309" s="92" t="str">
        <f>+A309</f>
        <v>BICARBONATE</v>
      </c>
      <c r="E309" s="105"/>
      <c r="T309" s="105" t="s">
        <v>520</v>
      </c>
      <c r="U309" s="108" t="s">
        <v>598</v>
      </c>
      <c r="V309" s="107">
        <v>3.4</v>
      </c>
    </row>
    <row r="310" spans="1:22">
      <c r="A310" s="117" t="s">
        <v>271</v>
      </c>
      <c r="B310" s="59">
        <f>+B309+1</f>
        <v>302</v>
      </c>
      <c r="C310" s="102">
        <v>5</v>
      </c>
      <c r="D310" s="92" t="str">
        <f>+A310</f>
        <v>BILIRUBIN - DIRECT</v>
      </c>
      <c r="E310" s="105"/>
      <c r="T310" s="105" t="s">
        <v>522</v>
      </c>
      <c r="U310" s="108" t="s">
        <v>599</v>
      </c>
      <c r="V310" s="107">
        <v>3.4</v>
      </c>
    </row>
    <row r="311" spans="1:22">
      <c r="A311" s="117" t="s">
        <v>274</v>
      </c>
      <c r="B311" s="59">
        <f>+B310+1</f>
        <v>303</v>
      </c>
      <c r="C311" s="102">
        <v>5</v>
      </c>
      <c r="D311" s="92" t="str">
        <f>+A311</f>
        <v>BILIRUBIN - NEONATAL</v>
      </c>
      <c r="E311" s="105"/>
      <c r="T311" s="105" t="s">
        <v>524</v>
      </c>
      <c r="U311" s="108" t="s">
        <v>600</v>
      </c>
      <c r="V311" s="107">
        <v>3.4</v>
      </c>
    </row>
    <row r="312" spans="1:22">
      <c r="A312" s="117" t="s">
        <v>277</v>
      </c>
      <c r="B312" s="59">
        <f>+B311+1</f>
        <v>304</v>
      </c>
      <c r="C312" s="102">
        <v>9.7</v>
      </c>
      <c r="D312" s="92" t="str">
        <f>+A312</f>
        <v>CARBAMAZEPINE</v>
      </c>
      <c r="E312" s="105"/>
      <c r="T312" s="105" t="s">
        <v>526</v>
      </c>
      <c r="U312" s="108" t="s">
        <v>601</v>
      </c>
      <c r="V312" s="107">
        <v>3.4</v>
      </c>
    </row>
    <row r="313" spans="1:22">
      <c r="A313" s="117" t="s">
        <v>280</v>
      </c>
      <c r="B313" s="59">
        <f>+B312+1</f>
        <v>305</v>
      </c>
      <c r="C313" s="102">
        <v>2.8</v>
      </c>
      <c r="D313" s="92" t="str">
        <f>+A313</f>
        <v>CHLORIDE</v>
      </c>
      <c r="E313" s="105"/>
      <c r="T313" s="105" t="s">
        <v>528</v>
      </c>
      <c r="U313" s="108" t="s">
        <v>602</v>
      </c>
      <c r="V313" s="107">
        <v>13</v>
      </c>
    </row>
    <row r="314" spans="1:22">
      <c r="A314" s="117" t="s">
        <v>283</v>
      </c>
      <c r="B314" s="59">
        <f>+B313+1</f>
        <v>306</v>
      </c>
      <c r="C314" s="102">
        <v>3.4</v>
      </c>
      <c r="D314" s="92" t="str">
        <f>+A314</f>
        <v>CHOLESTEROL</v>
      </c>
      <c r="E314" s="105"/>
      <c r="T314" s="105" t="s">
        <v>530</v>
      </c>
      <c r="U314" s="108" t="s">
        <v>603</v>
      </c>
      <c r="V314" s="107">
        <v>29</v>
      </c>
    </row>
    <row r="315" spans="1:22">
      <c r="A315" s="117" t="s">
        <v>286</v>
      </c>
      <c r="B315" s="59">
        <f>+B314+1</f>
        <v>307</v>
      </c>
      <c r="C315" s="102">
        <v>3.4</v>
      </c>
      <c r="D315" s="92" t="str">
        <f>+A315</f>
        <v>CK</v>
      </c>
      <c r="E315" s="105"/>
      <c r="T315" s="105" t="s">
        <v>532</v>
      </c>
      <c r="U315" s="108" t="s">
        <v>532</v>
      </c>
      <c r="V315" s="107">
        <v>11.7</v>
      </c>
    </row>
    <row r="316" spans="1:22">
      <c r="A316" s="117" t="s">
        <v>288</v>
      </c>
      <c r="B316" s="59">
        <f>+B315+1</f>
        <v>308</v>
      </c>
      <c r="C316" s="102">
        <v>3.9</v>
      </c>
      <c r="D316" s="92" t="str">
        <f>+A316</f>
        <v>C-REACTIVE PROTEIN</v>
      </c>
      <c r="E316" s="105"/>
      <c r="T316" s="105" t="s">
        <v>534</v>
      </c>
      <c r="U316" s="108" t="s">
        <v>604</v>
      </c>
      <c r="V316" s="107">
        <v>25.8</v>
      </c>
    </row>
    <row r="317" spans="1:22">
      <c r="A317" s="117" t="s">
        <v>291</v>
      </c>
      <c r="B317" s="59">
        <f>+B316+1</f>
        <v>309</v>
      </c>
      <c r="C317" s="102">
        <v>11.7</v>
      </c>
      <c r="D317" s="92" t="str">
        <f>+A317</f>
        <v>DIGOXIN</v>
      </c>
      <c r="E317" s="105"/>
      <c r="T317" s="105" t="s">
        <v>536</v>
      </c>
      <c r="U317" s="108" t="s">
        <v>605</v>
      </c>
      <c r="V317" s="107">
        <v>2.1</v>
      </c>
    </row>
    <row r="318" spans="1:22">
      <c r="A318" s="117" t="s">
        <v>294</v>
      </c>
      <c r="B318" s="59">
        <f>+B317+1</f>
        <v>310</v>
      </c>
      <c r="C318" s="102">
        <v>14.1</v>
      </c>
      <c r="D318" s="92" t="str">
        <f>+A318</f>
        <v>FERRITIN</v>
      </c>
      <c r="E318" s="105"/>
      <c r="T318" s="105" t="s">
        <v>606</v>
      </c>
      <c r="U318" s="108" t="s">
        <v>607</v>
      </c>
      <c r="V318" s="107">
        <v>16.3</v>
      </c>
    </row>
    <row r="319" spans="1:22">
      <c r="A319" s="117" t="s">
        <v>297</v>
      </c>
      <c r="B319" s="59">
        <f>+B318+1</f>
        <v>311</v>
      </c>
      <c r="C319" s="102">
        <v>9.3</v>
      </c>
      <c r="D319" s="92" t="str">
        <f>+A319</f>
        <v>FOLATE (PLASMA)</v>
      </c>
      <c r="E319" s="105"/>
      <c r="T319" s="105" t="s">
        <v>608</v>
      </c>
      <c r="U319" s="108" t="s">
        <v>609</v>
      </c>
      <c r="V319" s="107">
        <v>49.9</v>
      </c>
    </row>
    <row r="320" spans="1:22">
      <c r="A320" s="117" t="s">
        <v>300</v>
      </c>
      <c r="B320" s="59">
        <f>+B319+1</f>
        <v>312</v>
      </c>
      <c r="C320" s="102">
        <v>8.5</v>
      </c>
      <c r="D320" s="92" t="str">
        <f>+A320</f>
        <v>FREE T3</v>
      </c>
      <c r="E320" s="105"/>
      <c r="T320" s="105" t="s">
        <v>540</v>
      </c>
      <c r="U320" s="111" t="s">
        <v>610</v>
      </c>
      <c r="V320" s="107">
        <v>29</v>
      </c>
    </row>
    <row r="321" spans="1:22">
      <c r="A321" s="117" t="s">
        <v>303</v>
      </c>
      <c r="B321" s="59">
        <f>+B320+1</f>
        <v>313</v>
      </c>
      <c r="C321" s="102">
        <v>5</v>
      </c>
      <c r="D321" s="92" t="str">
        <f>+A321</f>
        <v>FREE T4</v>
      </c>
      <c r="E321" s="105"/>
      <c r="T321" s="105" t="s">
        <v>541</v>
      </c>
      <c r="U321" s="111" t="s">
        <v>611</v>
      </c>
      <c r="V321" s="107">
        <v>29</v>
      </c>
    </row>
    <row r="322" spans="1:22">
      <c r="A322" s="117" t="s">
        <v>306</v>
      </c>
      <c r="B322" s="59">
        <f>+B321+1</f>
        <v>314</v>
      </c>
      <c r="C322" s="102">
        <v>6.7</v>
      </c>
      <c r="D322" s="92" t="str">
        <f>+A322</f>
        <v>FSH</v>
      </c>
      <c r="E322" s="105"/>
      <c r="T322" s="105" t="s">
        <v>542</v>
      </c>
      <c r="U322" s="108" t="s">
        <v>612</v>
      </c>
      <c r="V322" s="107">
        <v>36.9</v>
      </c>
    </row>
    <row r="323" spans="1:22">
      <c r="A323" s="117" t="s">
        <v>309</v>
      </c>
      <c r="B323" s="59">
        <f>+B322+1</f>
        <v>315</v>
      </c>
      <c r="C323" s="102">
        <v>3.4</v>
      </c>
      <c r="D323" s="92" t="str">
        <f>+A323</f>
        <v>GAMMA GT</v>
      </c>
      <c r="E323" s="105"/>
      <c r="T323" s="105" t="s">
        <v>576</v>
      </c>
      <c r="U323" s="108" t="s">
        <v>613</v>
      </c>
      <c r="V323" s="107">
        <v>28.5</v>
      </c>
    </row>
    <row r="324" spans="1:22">
      <c r="A324" s="117" t="s">
        <v>312</v>
      </c>
      <c r="B324" s="59">
        <f>+B323+1</f>
        <v>316</v>
      </c>
      <c r="C324" s="102">
        <v>3.4</v>
      </c>
      <c r="D324" s="92" t="str">
        <f>+A324</f>
        <v>GLUCOSE</v>
      </c>
      <c r="E324" s="105"/>
      <c r="T324" s="105" t="s">
        <v>543</v>
      </c>
      <c r="U324" s="108" t="s">
        <v>614</v>
      </c>
      <c r="V324" s="107">
        <v>8.5</v>
      </c>
    </row>
    <row r="325" spans="1:22">
      <c r="A325" s="118" t="s">
        <v>315</v>
      </c>
      <c r="B325" s="59">
        <f>+B324+1</f>
        <v>317</v>
      </c>
      <c r="C325" s="102">
        <v>11.9</v>
      </c>
      <c r="D325" s="92" t="str">
        <f>+A325</f>
        <v>hCG </v>
      </c>
      <c r="E325" s="105"/>
      <c r="T325" s="105" t="s">
        <v>544</v>
      </c>
      <c r="U325" s="108" t="s">
        <v>615</v>
      </c>
      <c r="V325" s="107">
        <v>12.3</v>
      </c>
    </row>
    <row r="326" spans="1:22">
      <c r="A326" s="119" t="s">
        <v>318</v>
      </c>
      <c r="B326" s="59">
        <f>+B325+1</f>
        <v>318</v>
      </c>
      <c r="C326" s="102">
        <v>7.6</v>
      </c>
      <c r="D326" s="92" t="str">
        <f>+A326</f>
        <v>HDL CHOLESTEROL</v>
      </c>
      <c r="E326" s="120"/>
      <c r="T326" s="120" t="s">
        <v>548</v>
      </c>
      <c r="U326" s="108" t="s">
        <v>616</v>
      </c>
      <c r="V326" s="107">
        <v>12.5</v>
      </c>
    </row>
    <row r="327" spans="1:22">
      <c r="A327" s="119" t="s">
        <v>321</v>
      </c>
      <c r="B327" s="59">
        <f>+B326+1</f>
        <v>319</v>
      </c>
      <c r="C327" s="102">
        <v>5.9</v>
      </c>
      <c r="D327" s="92" t="str">
        <f>+A327</f>
        <v>IRON</v>
      </c>
      <c r="E327" s="110"/>
      <c r="T327" s="110" t="s">
        <v>370</v>
      </c>
      <c r="U327" s="108" t="s">
        <v>371</v>
      </c>
      <c r="V327" s="107">
        <v>10.2</v>
      </c>
    </row>
    <row r="328" spans="1:22">
      <c r="A328" s="119" t="s">
        <v>326</v>
      </c>
      <c r="B328" s="59">
        <f>+B327+1</f>
        <v>320</v>
      </c>
      <c r="C328" s="102">
        <v>4.5</v>
      </c>
      <c r="D328" s="92" t="str">
        <f>+A328</f>
        <v>LDH</v>
      </c>
      <c r="E328" s="121"/>
      <c r="T328" s="110" t="s">
        <v>555</v>
      </c>
      <c r="U328" s="111" t="s">
        <v>617</v>
      </c>
      <c r="V328" s="107">
        <v>4.3</v>
      </c>
    </row>
    <row r="329" spans="1:22">
      <c r="A329" s="119" t="s">
        <v>329</v>
      </c>
      <c r="B329" s="59">
        <f>+B328+1</f>
        <v>321</v>
      </c>
      <c r="C329" s="102">
        <v>6.7</v>
      </c>
      <c r="D329" s="92" t="str">
        <f>+A329</f>
        <v>LH</v>
      </c>
      <c r="E329" s="121"/>
      <c r="T329" s="110" t="s">
        <v>557</v>
      </c>
      <c r="U329" s="111" t="s">
        <v>618</v>
      </c>
      <c r="V329" s="107">
        <v>2.1</v>
      </c>
    </row>
    <row r="330" spans="1:22">
      <c r="A330" s="117" t="s">
        <v>332</v>
      </c>
      <c r="B330" s="59">
        <f>+B329+1</f>
        <v>322</v>
      </c>
      <c r="C330" s="102">
        <v>4.4</v>
      </c>
      <c r="D330" s="92" t="str">
        <f>+A330</f>
        <v>MAGNESIUM</v>
      </c>
      <c r="E330" s="121"/>
      <c r="T330" s="110" t="s">
        <v>559</v>
      </c>
      <c r="U330" s="111" t="s">
        <v>619</v>
      </c>
      <c r="V330" s="107">
        <v>2.1</v>
      </c>
    </row>
    <row r="331" spans="1:22">
      <c r="A331" s="117" t="s">
        <v>335</v>
      </c>
      <c r="B331" s="59">
        <f>+B330+1</f>
        <v>323</v>
      </c>
      <c r="C331" s="102">
        <v>6.7</v>
      </c>
      <c r="D331" s="92" t="str">
        <f>+A331</f>
        <v>OESTRADIOL</v>
      </c>
      <c r="E331" s="105"/>
      <c r="T331" s="105" t="s">
        <v>561</v>
      </c>
      <c r="U331" s="108" t="s">
        <v>620</v>
      </c>
      <c r="V331" s="107">
        <v>5.9</v>
      </c>
    </row>
    <row r="332" spans="1:22">
      <c r="A332" s="117" t="s">
        <v>338</v>
      </c>
      <c r="B332" s="59">
        <f>+B331+1</f>
        <v>324</v>
      </c>
      <c r="C332" s="102">
        <v>6.7</v>
      </c>
      <c r="D332" s="92" t="str">
        <f>+A332</f>
        <v>PARACETAMOL</v>
      </c>
      <c r="E332" s="105"/>
      <c r="T332" s="105" t="s">
        <v>563</v>
      </c>
      <c r="U332" s="108" t="s">
        <v>621</v>
      </c>
      <c r="V332" s="107">
        <v>5</v>
      </c>
    </row>
    <row r="333" spans="1:22">
      <c r="A333" s="117" t="s">
        <v>341</v>
      </c>
      <c r="B333" s="59">
        <f>+B332+1</f>
        <v>325</v>
      </c>
      <c r="C333" s="102">
        <v>9.7</v>
      </c>
      <c r="D333" s="92" t="str">
        <f>+A333</f>
        <v>PHENOBARBITONE</v>
      </c>
      <c r="E333" s="105"/>
      <c r="T333" s="105" t="s">
        <v>567</v>
      </c>
      <c r="U333" s="108" t="s">
        <v>622</v>
      </c>
      <c r="V333" s="107">
        <v>13.1</v>
      </c>
    </row>
    <row r="334" spans="1:22">
      <c r="A334" s="119" t="s">
        <v>344</v>
      </c>
      <c r="B334" s="59">
        <f>+B333+1</f>
        <v>326</v>
      </c>
      <c r="C334" s="102">
        <v>9.7</v>
      </c>
      <c r="D334" s="92" t="str">
        <f>+A334</f>
        <v>PHENYTOIN</v>
      </c>
      <c r="E334" s="105"/>
      <c r="T334" s="105" t="s">
        <v>570</v>
      </c>
      <c r="U334" s="108" t="s">
        <v>623</v>
      </c>
      <c r="V334" s="107">
        <v>26.1</v>
      </c>
    </row>
    <row r="335" spans="1:22">
      <c r="A335" s="117" t="s">
        <v>347</v>
      </c>
      <c r="B335" s="59">
        <f>+B334+1</f>
        <v>327</v>
      </c>
      <c r="C335" s="102">
        <v>3.4</v>
      </c>
      <c r="D335" s="92" t="str">
        <f>+A335</f>
        <v>PHOSPHATE</v>
      </c>
      <c r="E335" s="110"/>
      <c r="T335" s="110" t="s">
        <v>572</v>
      </c>
      <c r="U335" s="109"/>
      <c r="V335" s="107">
        <v>27.2</v>
      </c>
    </row>
    <row r="336" spans="1:22">
      <c r="A336" s="117" t="s">
        <v>350</v>
      </c>
      <c r="B336" s="59">
        <f>+B335+1</f>
        <v>328</v>
      </c>
      <c r="C336" s="102">
        <v>8.7</v>
      </c>
      <c r="D336" s="92" t="str">
        <f>+A336</f>
        <v>PROGESTERONE</v>
      </c>
      <c r="E336" s="105"/>
      <c r="T336" s="105" t="s">
        <v>574</v>
      </c>
      <c r="U336" s="108" t="s">
        <v>624</v>
      </c>
      <c r="V336" s="107">
        <v>24.2</v>
      </c>
    </row>
    <row r="337" spans="1:22">
      <c r="A337" s="117" t="s">
        <v>353</v>
      </c>
      <c r="B337" s="59">
        <f>+B336+1</f>
        <v>329</v>
      </c>
      <c r="C337" s="102">
        <v>6.7</v>
      </c>
      <c r="D337" s="92" t="str">
        <f>+A337</f>
        <v>PROLACTIN</v>
      </c>
      <c r="E337" s="105"/>
      <c r="T337" s="105" t="s">
        <v>625</v>
      </c>
      <c r="U337" s="111" t="s">
        <v>626</v>
      </c>
      <c r="V337" s="107">
        <v>30.3</v>
      </c>
    </row>
    <row r="338" spans="1:22">
      <c r="A338" s="117" t="s">
        <v>356</v>
      </c>
      <c r="B338" s="59">
        <f>+B337+1</f>
        <v>330</v>
      </c>
      <c r="C338" s="102">
        <v>9.7</v>
      </c>
      <c r="D338" s="92" t="str">
        <f>+A338</f>
        <v>PSA</v>
      </c>
      <c r="E338" s="105"/>
      <c r="T338" s="105" t="s">
        <v>579</v>
      </c>
      <c r="U338" s="108" t="s">
        <v>627</v>
      </c>
      <c r="V338" s="107">
        <v>13.1</v>
      </c>
    </row>
    <row r="339" spans="1:22">
      <c r="A339" s="117" t="s">
        <v>358</v>
      </c>
      <c r="B339" s="59">
        <f>+B338+1</f>
        <v>331</v>
      </c>
      <c r="C339" s="102">
        <v>5.7</v>
      </c>
      <c r="D339" s="92" t="str">
        <f>+A339</f>
        <v>SALICYLATE</v>
      </c>
      <c r="E339" s="105"/>
      <c r="T339" s="105" t="s">
        <v>583</v>
      </c>
      <c r="U339" s="111" t="s">
        <v>628</v>
      </c>
      <c r="V339" s="107">
        <v>60.1</v>
      </c>
    </row>
    <row r="340" spans="1:22">
      <c r="A340" s="117" t="s">
        <v>361</v>
      </c>
      <c r="B340" s="59">
        <f>+B339+1</f>
        <v>332</v>
      </c>
      <c r="C340" s="102">
        <v>9.7</v>
      </c>
      <c r="D340" s="92" t="str">
        <f>+A340</f>
        <v>THEOPHYLLINE</v>
      </c>
      <c r="E340" s="105"/>
      <c r="T340" s="105" t="s">
        <v>585</v>
      </c>
      <c r="U340" s="111" t="s">
        <v>629</v>
      </c>
      <c r="V340" s="107">
        <v>27.5</v>
      </c>
    </row>
    <row r="341" spans="1:22">
      <c r="A341" s="117" t="s">
        <v>364</v>
      </c>
      <c r="B341" s="59">
        <f>+B340+1</f>
        <v>333</v>
      </c>
      <c r="C341" s="102">
        <v>8.5</v>
      </c>
      <c r="D341" s="92" t="str">
        <f>+A341</f>
        <v>TRANSFERRIN</v>
      </c>
      <c r="E341" s="105"/>
      <c r="T341" s="105" t="s">
        <v>394</v>
      </c>
      <c r="U341" s="111" t="s">
        <v>488</v>
      </c>
      <c r="V341" s="107">
        <v>24.1</v>
      </c>
    </row>
    <row r="342" spans="1:22">
      <c r="A342" s="117" t="s">
        <v>367</v>
      </c>
      <c r="B342" s="59">
        <f>+B341+1</f>
        <v>334</v>
      </c>
      <c r="C342" s="102">
        <v>3.4</v>
      </c>
      <c r="D342" s="92" t="str">
        <f>+A342</f>
        <v>TRIGLYCERIDES</v>
      </c>
      <c r="E342" s="105"/>
      <c r="T342" s="105" t="s">
        <v>587</v>
      </c>
      <c r="U342" s="108" t="s">
        <v>630</v>
      </c>
      <c r="V342" s="107">
        <v>60.1</v>
      </c>
    </row>
    <row r="343" spans="1:22">
      <c r="A343" s="117" t="s">
        <v>370</v>
      </c>
      <c r="B343" s="59">
        <f>+B342+1</f>
        <v>335</v>
      </c>
      <c r="C343" s="102">
        <v>10.2</v>
      </c>
      <c r="D343" s="92" t="str">
        <f>+A343</f>
        <v>TROPONIN - I</v>
      </c>
      <c r="E343" s="105"/>
      <c r="T343" s="105" t="s">
        <v>631</v>
      </c>
      <c r="U343" s="108" t="s">
        <v>632</v>
      </c>
      <c r="V343" s="107">
        <v>26.3</v>
      </c>
    </row>
    <row r="344" spans="1:22">
      <c r="A344" s="117" t="s">
        <v>372</v>
      </c>
      <c r="B344" s="59">
        <f>+B343+1</f>
        <v>336</v>
      </c>
      <c r="C344" s="102">
        <v>5</v>
      </c>
      <c r="D344" s="92" t="str">
        <f>+A344</f>
        <v>TSH</v>
      </c>
      <c r="E344" s="105"/>
      <c r="T344" s="105" t="s">
        <v>633</v>
      </c>
      <c r="U344" s="111" t="s">
        <v>634</v>
      </c>
      <c r="V344" s="107">
        <v>26.3</v>
      </c>
    </row>
    <row r="345" spans="1:22">
      <c r="A345" s="117" t="s">
        <v>375</v>
      </c>
      <c r="B345" s="59">
        <f>+B344+1</f>
        <v>337</v>
      </c>
      <c r="C345" s="102">
        <v>5</v>
      </c>
      <c r="D345" s="92" t="str">
        <f>+A345</f>
        <v>URATE</v>
      </c>
      <c r="E345" s="105"/>
      <c r="T345" s="105" t="s">
        <v>635</v>
      </c>
      <c r="U345" s="108" t="s">
        <v>636</v>
      </c>
      <c r="V345" s="107">
        <v>26.3</v>
      </c>
    </row>
    <row r="346" spans="1:22">
      <c r="A346" s="117" t="s">
        <v>378</v>
      </c>
      <c r="B346" s="59">
        <f>+B345+1</f>
        <v>338</v>
      </c>
      <c r="C346" s="102">
        <v>9.7</v>
      </c>
      <c r="D346" s="92" t="str">
        <f>+A346</f>
        <v>VALPROATE</v>
      </c>
      <c r="E346" s="105"/>
      <c r="T346" s="105" t="s">
        <v>637</v>
      </c>
      <c r="U346" s="111" t="s">
        <v>638</v>
      </c>
      <c r="V346" s="107">
        <v>26.3</v>
      </c>
    </row>
    <row r="347" spans="1:22">
      <c r="A347" s="117" t="s">
        <v>381</v>
      </c>
      <c r="B347" s="59">
        <f>+B346+1</f>
        <v>339</v>
      </c>
      <c r="C347" s="102">
        <v>9.2</v>
      </c>
      <c r="D347" s="92" t="str">
        <f>+A347</f>
        <v>VITAMIN B 12</v>
      </c>
      <c r="E347" s="105"/>
      <c r="T347" s="105" t="s">
        <v>639</v>
      </c>
      <c r="U347" s="108" t="s">
        <v>640</v>
      </c>
      <c r="V347" s="107">
        <v>26.3</v>
      </c>
    </row>
    <row r="348" spans="1:22" ht="13">
      <c r="A348" s="122" t="s">
        <v>641</v>
      </c>
      <c r="B348" s="59">
        <f>+B347+1</f>
        <v>340</v>
      </c>
      <c r="C348" s="102"/>
      <c r="D348" s="92" t="str">
        <f>+A348</f>
        <v>Trace Elements</v>
      </c>
      <c r="E348" s="105"/>
      <c r="T348" s="105" t="s">
        <v>642</v>
      </c>
      <c r="U348" s="108" t="s">
        <v>643</v>
      </c>
      <c r="V348" s="107">
        <v>26.3</v>
      </c>
    </row>
    <row r="349" spans="1:22">
      <c r="A349" s="123" t="s">
        <v>631</v>
      </c>
      <c r="B349" s="59">
        <f>+B348+1</f>
        <v>341</v>
      </c>
      <c r="C349" s="102">
        <v>26.3</v>
      </c>
      <c r="D349" s="92" t="str">
        <f>+A349</f>
        <v>ALUMINIUM (OTHER)</v>
      </c>
      <c r="E349" s="105"/>
      <c r="T349" s="105"/>
      <c r="U349" s="111"/>
      <c r="V349" s="107"/>
    </row>
    <row r="350" spans="1:22">
      <c r="A350" s="123" t="s">
        <v>633</v>
      </c>
      <c r="B350" s="59">
        <f>+B349+1</f>
        <v>342</v>
      </c>
      <c r="C350" s="102">
        <v>26.3</v>
      </c>
      <c r="D350" s="92" t="str">
        <f>+A350</f>
        <v>ALUMINIUM (PLASMA)</v>
      </c>
      <c r="E350" s="105"/>
      <c r="T350" s="105"/>
      <c r="U350" s="111"/>
      <c r="V350" s="107"/>
    </row>
    <row r="351" spans="1:22">
      <c r="A351" s="123" t="s">
        <v>635</v>
      </c>
      <c r="B351" s="59">
        <f>+B350+1</f>
        <v>343</v>
      </c>
      <c r="C351" s="102">
        <v>26.3</v>
      </c>
      <c r="D351" s="92" t="str">
        <f>+A351</f>
        <v>ALUMINIUM (URINE)</v>
      </c>
      <c r="E351" s="105"/>
      <c r="T351" s="105"/>
      <c r="U351" s="111"/>
      <c r="V351" s="107"/>
    </row>
    <row r="352" spans="1:22">
      <c r="A352" s="123" t="s">
        <v>637</v>
      </c>
      <c r="B352" s="59">
        <f>+B351+1</f>
        <v>344</v>
      </c>
      <c r="C352" s="102">
        <v>26.3</v>
      </c>
      <c r="D352" s="92" t="str">
        <f>+A352</f>
        <v>ANTIMONY (BLOOD)</v>
      </c>
      <c r="E352" s="105"/>
      <c r="T352" s="105"/>
      <c r="U352" s="111"/>
      <c r="V352" s="107"/>
    </row>
    <row r="353" spans="1:22">
      <c r="A353" s="123" t="s">
        <v>639</v>
      </c>
      <c r="B353" s="59">
        <f>+B352+1</f>
        <v>345</v>
      </c>
      <c r="C353" s="102">
        <v>26.3</v>
      </c>
      <c r="D353" s="92" t="str">
        <f>+A353</f>
        <v>ANTIMONY (not reported)</v>
      </c>
      <c r="E353" s="105"/>
      <c r="T353" s="105"/>
      <c r="U353" s="111"/>
      <c r="V353" s="107"/>
    </row>
    <row r="354" spans="1:22">
      <c r="A354" s="123" t="s">
        <v>642</v>
      </c>
      <c r="B354" s="59">
        <f>+B353+1</f>
        <v>346</v>
      </c>
      <c r="C354" s="102">
        <v>26.3</v>
      </c>
      <c r="D354" s="92" t="str">
        <f>+A354</f>
        <v>ANTIMONY (OTHER)</v>
      </c>
      <c r="E354" s="105"/>
      <c r="T354" s="105"/>
      <c r="U354" s="111"/>
      <c r="V354" s="107"/>
    </row>
    <row r="355" spans="1:22">
      <c r="A355" s="123" t="s">
        <v>644</v>
      </c>
      <c r="B355" s="59">
        <f>+B354+1</f>
        <v>347</v>
      </c>
      <c r="C355" s="102">
        <v>26.3</v>
      </c>
      <c r="D355" s="92" t="str">
        <f>+A355</f>
        <v>ANTIMONY (PLASMA)</v>
      </c>
      <c r="E355" s="105"/>
      <c r="T355" s="105"/>
      <c r="U355" s="111"/>
      <c r="V355" s="107"/>
    </row>
    <row r="356" spans="1:22">
      <c r="A356" s="123" t="s">
        <v>645</v>
      </c>
      <c r="B356" s="59">
        <f>+B355+1</f>
        <v>348</v>
      </c>
      <c r="C356" s="102">
        <v>26.3</v>
      </c>
      <c r="D356" s="92" t="str">
        <f>+A356</f>
        <v>ANTIMONY (URINE)</v>
      </c>
      <c r="E356" s="105"/>
      <c r="T356" s="105"/>
      <c r="U356" s="111"/>
      <c r="V356" s="107"/>
    </row>
    <row r="357" spans="1:22">
      <c r="A357" s="123" t="s">
        <v>646</v>
      </c>
      <c r="B357" s="59">
        <f>+B356+1</f>
        <v>349</v>
      </c>
      <c r="C357" s="102">
        <v>26.3</v>
      </c>
      <c r="D357" s="92" t="str">
        <f>+A357</f>
        <v>ARSENIC (BLOOD)</v>
      </c>
      <c r="E357" s="105"/>
      <c r="T357" s="105"/>
      <c r="U357" s="111"/>
      <c r="V357" s="107"/>
    </row>
    <row r="358" spans="1:22">
      <c r="A358" s="123" t="s">
        <v>647</v>
      </c>
      <c r="B358" s="59">
        <f>+B357+1</f>
        <v>350</v>
      </c>
      <c r="C358" s="102">
        <v>26.3</v>
      </c>
      <c r="D358" s="92" t="str">
        <f>+A358</f>
        <v>ARSENIC (OTHER)</v>
      </c>
      <c r="E358" s="105"/>
      <c r="T358" s="105"/>
      <c r="U358" s="111"/>
      <c r="V358" s="107"/>
    </row>
    <row r="359" spans="1:22">
      <c r="A359" s="123" t="s">
        <v>648</v>
      </c>
      <c r="B359" s="59">
        <f>+B358+1</f>
        <v>351</v>
      </c>
      <c r="C359" s="102">
        <v>26.3</v>
      </c>
      <c r="D359" s="92" t="str">
        <f>+A359</f>
        <v>ARSENIC (URINE)</v>
      </c>
      <c r="E359" s="105"/>
      <c r="T359" s="105"/>
      <c r="U359" s="111"/>
      <c r="V359" s="107"/>
    </row>
    <row r="360" spans="1:22">
      <c r="A360" s="123" t="s">
        <v>649</v>
      </c>
      <c r="B360" s="59">
        <f>+B359+1</f>
        <v>352</v>
      </c>
      <c r="C360" s="102">
        <v>26.3</v>
      </c>
      <c r="D360" s="92" t="str">
        <f>+A360</f>
        <v>BARIUM (OTHER)</v>
      </c>
      <c r="E360" s="105"/>
      <c r="T360" s="105" t="s">
        <v>645</v>
      </c>
      <c r="U360" s="111" t="s">
        <v>650</v>
      </c>
      <c r="V360" s="107">
        <v>26.3</v>
      </c>
    </row>
    <row r="361" spans="1:22">
      <c r="A361" s="123" t="s">
        <v>651</v>
      </c>
      <c r="B361" s="59">
        <f>+B360+1</f>
        <v>353</v>
      </c>
      <c r="C361" s="102">
        <v>26.3</v>
      </c>
      <c r="D361" s="92" t="str">
        <f>+A361</f>
        <v>BARIUM (PLASMA)</v>
      </c>
      <c r="E361" s="105"/>
      <c r="T361" s="105" t="s">
        <v>646</v>
      </c>
      <c r="U361" s="111" t="s">
        <v>652</v>
      </c>
      <c r="V361" s="107">
        <v>26.3</v>
      </c>
    </row>
    <row r="362" spans="1:22">
      <c r="A362" s="123" t="s">
        <v>653</v>
      </c>
      <c r="B362" s="59">
        <f>+B361+1</f>
        <v>354</v>
      </c>
      <c r="C362" s="102">
        <v>26.3</v>
      </c>
      <c r="D362" s="92" t="str">
        <f>+A362</f>
        <v>BARIUM (URINE)</v>
      </c>
      <c r="E362" s="105"/>
      <c r="T362" s="105" t="s">
        <v>647</v>
      </c>
      <c r="U362" s="108" t="s">
        <v>654</v>
      </c>
      <c r="V362" s="107">
        <v>26.3</v>
      </c>
    </row>
    <row r="363" spans="1:22">
      <c r="A363" s="123" t="s">
        <v>655</v>
      </c>
      <c r="B363" s="59">
        <f>+B362+1</f>
        <v>355</v>
      </c>
      <c r="C363" s="102">
        <v>26.3</v>
      </c>
      <c r="D363" s="92" t="str">
        <f>+A363</f>
        <v>BERYLLIUM (OTHER)</v>
      </c>
      <c r="E363" s="105"/>
      <c r="T363" s="105" t="s">
        <v>648</v>
      </c>
      <c r="U363" s="108" t="s">
        <v>656</v>
      </c>
      <c r="V363" s="107">
        <v>26.3</v>
      </c>
    </row>
    <row r="364" spans="1:22">
      <c r="A364" s="123" t="s">
        <v>657</v>
      </c>
      <c r="B364" s="59">
        <f>+B363+1</f>
        <v>356</v>
      </c>
      <c r="C364" s="102">
        <v>26.3</v>
      </c>
      <c r="D364" s="92" t="str">
        <f>+A364</f>
        <v>BERYLLIUM (PLASMA)</v>
      </c>
      <c r="E364" s="105"/>
      <c r="T364" s="105" t="s">
        <v>649</v>
      </c>
      <c r="U364" s="108" t="s">
        <v>658</v>
      </c>
      <c r="V364" s="107">
        <v>26.3</v>
      </c>
    </row>
    <row r="365" spans="1:22">
      <c r="A365" s="123" t="s">
        <v>659</v>
      </c>
      <c r="B365" s="59">
        <f>+B364+1</f>
        <v>357</v>
      </c>
      <c r="C365" s="102">
        <v>26.3</v>
      </c>
      <c r="D365" s="92" t="str">
        <f>+A365</f>
        <v>BERYLLIUM (URINE)</v>
      </c>
      <c r="E365" s="105"/>
      <c r="T365" s="105" t="s">
        <v>651</v>
      </c>
      <c r="U365" s="111" t="s">
        <v>660</v>
      </c>
      <c r="V365" s="107">
        <v>26.3</v>
      </c>
    </row>
    <row r="366" spans="1:22">
      <c r="A366" s="123" t="s">
        <v>661</v>
      </c>
      <c r="B366" s="59">
        <f>+B365+1</f>
        <v>358</v>
      </c>
      <c r="C366" s="102">
        <v>26.3</v>
      </c>
      <c r="D366" s="92" t="str">
        <f>+A366</f>
        <v>BISMUTH (BLOOD)</v>
      </c>
      <c r="E366" s="105"/>
      <c r="T366" s="105" t="s">
        <v>653</v>
      </c>
      <c r="U366" s="111" t="s">
        <v>662</v>
      </c>
      <c r="V366" s="107">
        <v>26.3</v>
      </c>
    </row>
    <row r="367" spans="1:22">
      <c r="A367" s="123" t="s">
        <v>663</v>
      </c>
      <c r="B367" s="59">
        <f>+B366+1</f>
        <v>359</v>
      </c>
      <c r="C367" s="102">
        <v>26.3</v>
      </c>
      <c r="D367" s="92" t="str">
        <f>+A367</f>
        <v>BISMUTH (OTHER)</v>
      </c>
      <c r="E367" s="105"/>
      <c r="T367" s="105" t="s">
        <v>655</v>
      </c>
      <c r="U367" s="108" t="s">
        <v>664</v>
      </c>
      <c r="V367" s="107">
        <v>26.3</v>
      </c>
    </row>
    <row r="368" spans="1:22">
      <c r="A368" s="123" t="s">
        <v>665</v>
      </c>
      <c r="B368" s="59">
        <f>+B367+1</f>
        <v>360</v>
      </c>
      <c r="C368" s="102">
        <v>26.3</v>
      </c>
      <c r="D368" s="92" t="str">
        <f>+A368</f>
        <v>BISMUTH (URINE)</v>
      </c>
      <c r="E368" s="105"/>
      <c r="T368" s="105" t="s">
        <v>657</v>
      </c>
      <c r="U368" s="108" t="s">
        <v>666</v>
      </c>
      <c r="V368" s="107">
        <v>26.3</v>
      </c>
    </row>
    <row r="369" spans="1:22">
      <c r="A369" s="123" t="s">
        <v>667</v>
      </c>
      <c r="B369" s="59">
        <f>+B368+1</f>
        <v>361</v>
      </c>
      <c r="C369" s="102">
        <v>26.3</v>
      </c>
      <c r="D369" s="92" t="str">
        <f>+A369</f>
        <v>BORON  (PLASMA)</v>
      </c>
      <c r="E369" s="105"/>
      <c r="T369" s="105" t="s">
        <v>659</v>
      </c>
      <c r="U369" s="108" t="s">
        <v>668</v>
      </c>
      <c r="V369" s="107">
        <v>26.3</v>
      </c>
    </row>
    <row r="370" spans="1:22">
      <c r="A370" s="123" t="s">
        <v>669</v>
      </c>
      <c r="B370" s="59">
        <f>+B369+1</f>
        <v>362</v>
      </c>
      <c r="C370" s="102">
        <v>26.3</v>
      </c>
      <c r="D370" s="92" t="str">
        <f>+A370</f>
        <v>BORON (URINE)</v>
      </c>
      <c r="E370" s="105"/>
      <c r="T370" s="105" t="s">
        <v>661</v>
      </c>
      <c r="U370" s="111" t="s">
        <v>670</v>
      </c>
      <c r="V370" s="107">
        <v>26.3</v>
      </c>
    </row>
    <row r="371" spans="1:22">
      <c r="A371" s="123" t="s">
        <v>671</v>
      </c>
      <c r="B371" s="59">
        <f>+B370+1</f>
        <v>363</v>
      </c>
      <c r="C371" s="102">
        <v>17.5</v>
      </c>
      <c r="D371" s="92" t="str">
        <f>+A371</f>
        <v>CADMIUM (BLOOD)</v>
      </c>
      <c r="E371" s="105"/>
      <c r="T371" s="105" t="s">
        <v>663</v>
      </c>
      <c r="U371" s="108" t="s">
        <v>672</v>
      </c>
      <c r="V371" s="107">
        <v>26.3</v>
      </c>
    </row>
    <row r="372" spans="1:22">
      <c r="A372" s="123" t="s">
        <v>673</v>
      </c>
      <c r="B372" s="59">
        <f>+B371+1</f>
        <v>364</v>
      </c>
      <c r="C372" s="102">
        <v>17.5</v>
      </c>
      <c r="D372" s="92" t="str">
        <f>+A372</f>
        <v>CADMIUM (none reportable)</v>
      </c>
      <c r="E372" s="105"/>
      <c r="T372" s="105" t="s">
        <v>665</v>
      </c>
      <c r="U372" s="108" t="s">
        <v>674</v>
      </c>
      <c r="V372" s="107">
        <v>26.3</v>
      </c>
    </row>
    <row r="373" spans="1:22">
      <c r="A373" s="123" t="s">
        <v>675</v>
      </c>
      <c r="B373" s="59">
        <f>+B372+1</f>
        <v>365</v>
      </c>
      <c r="C373" s="102">
        <v>17.5</v>
      </c>
      <c r="D373" s="92" t="str">
        <f>+A373</f>
        <v>CADMIUM (OTHER)</v>
      </c>
      <c r="E373" s="105"/>
      <c r="T373" s="105" t="s">
        <v>667</v>
      </c>
      <c r="U373" s="108" t="s">
        <v>676</v>
      </c>
      <c r="V373" s="107">
        <v>26.3</v>
      </c>
    </row>
    <row r="374" spans="1:22">
      <c r="A374" s="124" t="s">
        <v>677</v>
      </c>
      <c r="B374" s="59">
        <f>+B373+1</f>
        <v>366</v>
      </c>
      <c r="C374" s="102">
        <v>17.5</v>
      </c>
      <c r="D374" s="92" t="str">
        <f>+A374</f>
        <v>CADMIUM (URINE)</v>
      </c>
      <c r="E374" s="105"/>
      <c r="T374" s="105" t="s">
        <v>669</v>
      </c>
      <c r="U374" s="108" t="s">
        <v>678</v>
      </c>
      <c r="V374" s="107">
        <v>26.3</v>
      </c>
    </row>
    <row r="375" spans="1:22">
      <c r="A375" s="123" t="s">
        <v>679</v>
      </c>
      <c r="B375" s="59">
        <f>+B374+1</f>
        <v>367</v>
      </c>
      <c r="C375" s="102">
        <v>21.1</v>
      </c>
      <c r="D375" s="92" t="str">
        <f>+A375</f>
        <v>CHROMIUM (BLOOD)</v>
      </c>
      <c r="E375" s="105"/>
      <c r="T375" s="105" t="s">
        <v>671</v>
      </c>
      <c r="U375" s="108" t="s">
        <v>680</v>
      </c>
      <c r="V375" s="107">
        <v>17.5</v>
      </c>
    </row>
    <row r="376" spans="1:22">
      <c r="A376" s="123" t="s">
        <v>681</v>
      </c>
      <c r="B376" s="59">
        <f>+B375+1</f>
        <v>368</v>
      </c>
      <c r="C376" s="102">
        <v>21.1</v>
      </c>
      <c r="D376" s="92" t="str">
        <f>+A376</f>
        <v>CHROMIUM (non report)</v>
      </c>
      <c r="E376" s="105"/>
      <c r="T376" s="105" t="s">
        <v>673</v>
      </c>
      <c r="U376" s="108" t="s">
        <v>682</v>
      </c>
      <c r="V376" s="107">
        <v>17.5</v>
      </c>
    </row>
    <row r="377" spans="1:22">
      <c r="A377" s="123" t="s">
        <v>683</v>
      </c>
      <c r="B377" s="59">
        <f>+B376+1</f>
        <v>369</v>
      </c>
      <c r="C377" s="102">
        <v>21.1</v>
      </c>
      <c r="D377" s="92" t="str">
        <f>+A377</f>
        <v>CHROMIUM (OTHER)</v>
      </c>
      <c r="E377" s="105"/>
      <c r="T377" s="105" t="s">
        <v>675</v>
      </c>
      <c r="U377" s="108" t="s">
        <v>684</v>
      </c>
      <c r="V377" s="107">
        <v>17.5</v>
      </c>
    </row>
    <row r="378" spans="1:22">
      <c r="A378" s="123" t="s">
        <v>685</v>
      </c>
      <c r="B378" s="59">
        <f>+B377+1</f>
        <v>370</v>
      </c>
      <c r="C378" s="102">
        <v>21.1</v>
      </c>
      <c r="D378" s="92" t="str">
        <f>+A378</f>
        <v>CHROMIUM (PLASMA)</v>
      </c>
      <c r="E378" s="125"/>
      <c r="T378" s="125" t="s">
        <v>677</v>
      </c>
      <c r="U378" s="108" t="s">
        <v>686</v>
      </c>
      <c r="V378" s="107">
        <v>17.5</v>
      </c>
    </row>
    <row r="379" spans="1:22">
      <c r="A379" s="123" t="s">
        <v>687</v>
      </c>
      <c r="B379" s="59">
        <f>+B378+1</f>
        <v>371</v>
      </c>
      <c r="C379" s="102">
        <v>21.1</v>
      </c>
      <c r="D379" s="92" t="str">
        <f>+A379</f>
        <v>CHROMIUM (URINE)</v>
      </c>
      <c r="E379" s="105"/>
      <c r="T379" s="105" t="s">
        <v>679</v>
      </c>
      <c r="U379" s="108" t="s">
        <v>688</v>
      </c>
      <c r="V379" s="107">
        <v>21.1</v>
      </c>
    </row>
    <row r="380" spans="1:22">
      <c r="A380" s="123" t="s">
        <v>689</v>
      </c>
      <c r="B380" s="59">
        <f>+B379+1</f>
        <v>372</v>
      </c>
      <c r="C380" s="102">
        <v>21.1</v>
      </c>
      <c r="D380" s="92" t="str">
        <f>+A380</f>
        <v>COBALT (BLOOD)</v>
      </c>
      <c r="E380" s="105"/>
      <c r="T380" s="105" t="s">
        <v>681</v>
      </c>
      <c r="U380" s="108" t="s">
        <v>690</v>
      </c>
      <c r="V380" s="107">
        <v>21.1</v>
      </c>
    </row>
    <row r="381" spans="1:22">
      <c r="A381" s="123" t="s">
        <v>691</v>
      </c>
      <c r="B381" s="59">
        <f>+B380+1</f>
        <v>373</v>
      </c>
      <c r="C381" s="102">
        <v>21.1</v>
      </c>
      <c r="D381" s="92" t="str">
        <f>+A381</f>
        <v>COBALT (OTHER)</v>
      </c>
      <c r="E381" s="105"/>
      <c r="T381" s="105" t="s">
        <v>683</v>
      </c>
      <c r="U381" s="108" t="s">
        <v>692</v>
      </c>
      <c r="V381" s="107">
        <v>21.1</v>
      </c>
    </row>
    <row r="382" spans="1:22">
      <c r="A382" s="123" t="s">
        <v>693</v>
      </c>
      <c r="B382" s="59">
        <f>+B381+1</f>
        <v>374</v>
      </c>
      <c r="C382" s="102">
        <v>21.1</v>
      </c>
      <c r="D382" s="92" t="str">
        <f>+A382</f>
        <v>COBALT (PLASMA)</v>
      </c>
      <c r="E382" s="105"/>
      <c r="T382" s="105" t="s">
        <v>685</v>
      </c>
      <c r="U382" s="111" t="s">
        <v>694</v>
      </c>
      <c r="V382" s="107">
        <v>21.1</v>
      </c>
    </row>
    <row r="383" spans="1:22">
      <c r="A383" s="123" t="s">
        <v>695</v>
      </c>
      <c r="B383" s="59">
        <f>+B382+1</f>
        <v>375</v>
      </c>
      <c r="C383" s="102">
        <v>21.1</v>
      </c>
      <c r="D383" s="92" t="str">
        <f>+A383</f>
        <v>COBALT (URINE)</v>
      </c>
      <c r="E383" s="105"/>
      <c r="T383" s="105" t="s">
        <v>687</v>
      </c>
      <c r="U383" s="108" t="s">
        <v>696</v>
      </c>
      <c r="V383" s="107">
        <v>21.1</v>
      </c>
    </row>
    <row r="384" spans="1:22">
      <c r="A384" s="123" t="s">
        <v>697</v>
      </c>
      <c r="B384" s="59">
        <f>+B383+1</f>
        <v>376</v>
      </c>
      <c r="C384" s="102">
        <v>17.5</v>
      </c>
      <c r="D384" s="92" t="str">
        <f>+A384</f>
        <v>COPPER</v>
      </c>
      <c r="E384" s="105"/>
      <c r="T384" s="105" t="s">
        <v>698</v>
      </c>
      <c r="U384" s="108" t="s">
        <v>699</v>
      </c>
      <c r="V384" s="107">
        <v>21.1</v>
      </c>
    </row>
    <row r="385" spans="1:22">
      <c r="A385" s="123" t="s">
        <v>700</v>
      </c>
      <c r="B385" s="59">
        <f>+B384+1</f>
        <v>377</v>
      </c>
      <c r="C385" s="102">
        <v>17.5</v>
      </c>
      <c r="D385" s="92" t="str">
        <f>+A385</f>
        <v>COPPER (24 HOUR URINE)</v>
      </c>
      <c r="E385" s="105"/>
      <c r="T385" s="105" t="s">
        <v>691</v>
      </c>
      <c r="U385" s="108" t="s">
        <v>701</v>
      </c>
      <c r="V385" s="107">
        <v>21.1</v>
      </c>
    </row>
    <row r="386" spans="1:22">
      <c r="A386" s="123" t="s">
        <v>702</v>
      </c>
      <c r="B386" s="59">
        <f>+B385+1</f>
        <v>378</v>
      </c>
      <c r="C386" s="102">
        <v>52.4</v>
      </c>
      <c r="D386" s="92" t="str">
        <f>+A386</f>
        <v>COPPER (LIVER)</v>
      </c>
      <c r="E386" s="105"/>
      <c r="T386" s="105" t="s">
        <v>693</v>
      </c>
      <c r="U386" s="108" t="s">
        <v>703</v>
      </c>
      <c r="V386" s="107">
        <v>21.1</v>
      </c>
    </row>
    <row r="387" spans="1:22">
      <c r="A387" s="123" t="s">
        <v>704</v>
      </c>
      <c r="B387" s="59">
        <f>+B386+1</f>
        <v>379</v>
      </c>
      <c r="C387" s="102">
        <v>17.5</v>
      </c>
      <c r="D387" s="92" t="str">
        <f>+A387</f>
        <v>COPPER (OTHER)</v>
      </c>
      <c r="E387" s="105"/>
      <c r="T387" s="105" t="s">
        <v>695</v>
      </c>
      <c r="U387" s="108" t="s">
        <v>705</v>
      </c>
      <c r="V387" s="107">
        <v>21.1</v>
      </c>
    </row>
    <row r="388" spans="1:22">
      <c r="A388" s="123" t="s">
        <v>706</v>
      </c>
      <c r="B388" s="59">
        <f>+B387+1</f>
        <v>380</v>
      </c>
      <c r="C388" s="102">
        <v>17.5</v>
      </c>
      <c r="D388" s="92" t="str">
        <f>+A388</f>
        <v>COPPER (PLASMA)</v>
      </c>
      <c r="E388" s="105"/>
      <c r="T388" s="105" t="s">
        <v>697</v>
      </c>
      <c r="U388" s="111" t="s">
        <v>707</v>
      </c>
      <c r="V388" s="107">
        <v>17.5</v>
      </c>
    </row>
    <row r="389" spans="1:22">
      <c r="A389" s="123" t="s">
        <v>708</v>
      </c>
      <c r="B389" s="59">
        <f>+B388+1</f>
        <v>381</v>
      </c>
      <c r="C389" s="102">
        <v>17.5</v>
      </c>
      <c r="D389" s="92" t="str">
        <f>+A389</f>
        <v>COPPER (URINE)</v>
      </c>
      <c r="E389" s="105"/>
      <c r="T389" s="105" t="s">
        <v>700</v>
      </c>
      <c r="U389" s="111" t="s">
        <v>709</v>
      </c>
      <c r="V389" s="107">
        <v>17.5</v>
      </c>
    </row>
    <row r="390" spans="1:22">
      <c r="A390" s="123" t="s">
        <v>710</v>
      </c>
      <c r="B390" s="59">
        <f>+B389+1</f>
        <v>382</v>
      </c>
      <c r="C390" s="102">
        <v>26.3</v>
      </c>
      <c r="D390" s="92" t="str">
        <f>+A390</f>
        <v>GOLD (OTHER)</v>
      </c>
      <c r="E390" s="105"/>
      <c r="T390" s="105" t="s">
        <v>702</v>
      </c>
      <c r="U390" s="108" t="s">
        <v>711</v>
      </c>
      <c r="V390" s="107">
        <v>52.4</v>
      </c>
    </row>
    <row r="391" spans="1:22">
      <c r="A391" s="123" t="s">
        <v>712</v>
      </c>
      <c r="B391" s="59">
        <f>+B390+1</f>
        <v>383</v>
      </c>
      <c r="C391" s="102">
        <v>26.3</v>
      </c>
      <c r="D391" s="92" t="str">
        <f>+A391</f>
        <v>GOLD (PLASMA)</v>
      </c>
      <c r="E391" s="105"/>
      <c r="T391" s="105" t="s">
        <v>704</v>
      </c>
      <c r="U391" s="108" t="s">
        <v>713</v>
      </c>
      <c r="V391" s="107">
        <v>17.5</v>
      </c>
    </row>
    <row r="392" spans="1:22">
      <c r="A392" s="123" t="s">
        <v>714</v>
      </c>
      <c r="B392" s="59">
        <f>+B391+1</f>
        <v>384</v>
      </c>
      <c r="C392" s="102">
        <v>26.3</v>
      </c>
      <c r="D392" s="92" t="str">
        <f>+A392</f>
        <v>GOLD (URINE)</v>
      </c>
      <c r="E392" s="105"/>
      <c r="T392" s="105" t="s">
        <v>706</v>
      </c>
      <c r="U392" s="111" t="s">
        <v>715</v>
      </c>
      <c r="V392" s="107">
        <v>17.5</v>
      </c>
    </row>
    <row r="393" spans="1:22">
      <c r="A393" s="123" t="s">
        <v>716</v>
      </c>
      <c r="B393" s="59">
        <f>+B392+1</f>
        <v>385</v>
      </c>
      <c r="C393" s="102">
        <v>26.3</v>
      </c>
      <c r="D393" s="92" t="str">
        <f>+A393</f>
        <v>IODINE</v>
      </c>
      <c r="E393" s="105"/>
      <c r="T393" s="105" t="s">
        <v>708</v>
      </c>
      <c r="U393" s="111" t="s">
        <v>717</v>
      </c>
      <c r="V393" s="107">
        <v>17.5</v>
      </c>
    </row>
    <row r="394" spans="1:22">
      <c r="A394" s="123" t="s">
        <v>718</v>
      </c>
      <c r="B394" s="59">
        <f>+B393+1</f>
        <v>386</v>
      </c>
      <c r="C394" s="102">
        <v>26.3</v>
      </c>
      <c r="D394" s="92" t="str">
        <f>+A394</f>
        <v>IODINE (PLASMA)</v>
      </c>
      <c r="E394" s="105"/>
      <c r="T394" s="105" t="s">
        <v>710</v>
      </c>
      <c r="U394" s="108" t="s">
        <v>719</v>
      </c>
      <c r="V394" s="107">
        <v>26.3</v>
      </c>
    </row>
    <row r="395" spans="1:22">
      <c r="A395" s="123" t="s">
        <v>720</v>
      </c>
      <c r="B395" s="59">
        <f>+B394+1</f>
        <v>387</v>
      </c>
      <c r="C395" s="102">
        <v>52.4</v>
      </c>
      <c r="D395" s="92" t="str">
        <f>+A395</f>
        <v>IRON (LIVER)</v>
      </c>
      <c r="E395" s="105"/>
      <c r="T395" s="105" t="s">
        <v>712</v>
      </c>
      <c r="U395" s="108" t="s">
        <v>721</v>
      </c>
      <c r="V395" s="107">
        <v>26.3</v>
      </c>
    </row>
    <row r="396" spans="1:22">
      <c r="A396" s="123" t="s">
        <v>722</v>
      </c>
      <c r="B396" s="59">
        <f>+B395+1</f>
        <v>388</v>
      </c>
      <c r="C396" s="102">
        <v>26.3</v>
      </c>
      <c r="D396" s="92" t="str">
        <f>+A396</f>
        <v>IRON (OTHER)</v>
      </c>
      <c r="E396" s="105"/>
      <c r="T396" s="105" t="s">
        <v>714</v>
      </c>
      <c r="U396" s="108" t="s">
        <v>723</v>
      </c>
      <c r="V396" s="107">
        <v>26.3</v>
      </c>
    </row>
    <row r="397" spans="1:22">
      <c r="A397" s="123" t="s">
        <v>724</v>
      </c>
      <c r="B397" s="59">
        <f>+B396+1</f>
        <v>389</v>
      </c>
      <c r="C397" s="102">
        <v>26.3</v>
      </c>
      <c r="D397" s="92" t="str">
        <f>+A397</f>
        <v>IRON (URINE)</v>
      </c>
      <c r="E397" s="105"/>
      <c r="T397" s="105" t="s">
        <v>716</v>
      </c>
      <c r="U397" s="111" t="s">
        <v>725</v>
      </c>
      <c r="V397" s="107">
        <v>26.3</v>
      </c>
    </row>
    <row r="398" spans="1:22">
      <c r="A398" s="123" t="s">
        <v>726</v>
      </c>
      <c r="B398" s="59">
        <f>+B397+1</f>
        <v>390</v>
      </c>
      <c r="C398" s="102">
        <v>17.5</v>
      </c>
      <c r="D398" s="92" t="str">
        <f>+A398</f>
        <v>LEAD (BLOOD)</v>
      </c>
      <c r="E398" s="105"/>
      <c r="T398" s="105" t="s">
        <v>718</v>
      </c>
      <c r="U398" s="111" t="s">
        <v>41</v>
      </c>
      <c r="V398" s="107">
        <v>26.3</v>
      </c>
    </row>
    <row r="399" spans="1:22">
      <c r="A399" s="123" t="s">
        <v>727</v>
      </c>
      <c r="B399" s="59">
        <f>+B398+1</f>
        <v>391</v>
      </c>
      <c r="C399" s="102">
        <v>17.5</v>
      </c>
      <c r="D399" s="92" t="str">
        <f>+A399</f>
        <v>LEAD (non reportable)</v>
      </c>
      <c r="E399" s="105"/>
      <c r="T399" s="105" t="s">
        <v>720</v>
      </c>
      <c r="U399" s="108" t="s">
        <v>728</v>
      </c>
      <c r="V399" s="107">
        <v>52.4</v>
      </c>
    </row>
    <row r="400" spans="1:22">
      <c r="A400" s="123" t="s">
        <v>729</v>
      </c>
      <c r="B400" s="59">
        <f>+B399+1</f>
        <v>392</v>
      </c>
      <c r="C400" s="102">
        <v>17.5</v>
      </c>
      <c r="D400" s="92" t="str">
        <f>+A400</f>
        <v>LEAD (OTHER)</v>
      </c>
      <c r="E400" s="105"/>
      <c r="T400" s="105" t="s">
        <v>722</v>
      </c>
      <c r="U400" s="108" t="s">
        <v>730</v>
      </c>
      <c r="V400" s="107">
        <v>26.3</v>
      </c>
    </row>
    <row r="401" spans="1:22">
      <c r="A401" s="123" t="s">
        <v>731</v>
      </c>
      <c r="B401" s="59">
        <f>+B400+1</f>
        <v>393</v>
      </c>
      <c r="C401" s="102">
        <v>17.5</v>
      </c>
      <c r="D401" s="92" t="str">
        <f>+A401</f>
        <v>LEAD (URINE)</v>
      </c>
      <c r="E401" s="105"/>
      <c r="T401" s="105" t="s">
        <v>724</v>
      </c>
      <c r="U401" s="111" t="s">
        <v>732</v>
      </c>
      <c r="V401" s="107">
        <v>26.3</v>
      </c>
    </row>
    <row r="402" spans="1:22">
      <c r="A402" s="123" t="s">
        <v>733</v>
      </c>
      <c r="B402" s="59">
        <f>+B401+1</f>
        <v>394</v>
      </c>
      <c r="C402" s="102">
        <v>31.4</v>
      </c>
      <c r="D402" s="92" t="str">
        <f>+A402</f>
        <v>MANGANESE (BLOOD)</v>
      </c>
      <c r="E402" s="105"/>
      <c r="T402" s="105" t="s">
        <v>726</v>
      </c>
      <c r="U402" s="111" t="s">
        <v>734</v>
      </c>
      <c r="V402" s="107">
        <v>17.5</v>
      </c>
    </row>
    <row r="403" spans="1:22">
      <c r="A403" s="123" t="s">
        <v>735</v>
      </c>
      <c r="B403" s="59">
        <f>+B402+1</f>
        <v>395</v>
      </c>
      <c r="C403" s="102">
        <v>31.4</v>
      </c>
      <c r="D403" s="92" t="str">
        <f>+A403</f>
        <v>MANGANESE (OTHER)</v>
      </c>
      <c r="E403" s="105"/>
      <c r="T403" s="105" t="s">
        <v>727</v>
      </c>
      <c r="U403" s="108" t="s">
        <v>736</v>
      </c>
      <c r="V403" s="107">
        <v>17.5</v>
      </c>
    </row>
    <row r="404" spans="1:22">
      <c r="A404" s="123" t="s">
        <v>737</v>
      </c>
      <c r="B404" s="59">
        <f>+B403+1</f>
        <v>396</v>
      </c>
      <c r="C404" s="102">
        <v>31.4</v>
      </c>
      <c r="D404" s="92" t="str">
        <f>+A404</f>
        <v>MANGANESE (URINE)</v>
      </c>
      <c r="E404" s="105"/>
      <c r="T404" s="105" t="s">
        <v>729</v>
      </c>
      <c r="U404" s="108" t="s">
        <v>738</v>
      </c>
      <c r="V404" s="107">
        <v>17.5</v>
      </c>
    </row>
    <row r="405" spans="1:22">
      <c r="A405" s="123" t="s">
        <v>739</v>
      </c>
      <c r="B405" s="59">
        <f>+B404+1</f>
        <v>397</v>
      </c>
      <c r="C405" s="102">
        <v>26.3</v>
      </c>
      <c r="D405" s="92" t="str">
        <f>+A405</f>
        <v>MERCURY (BLOOD)</v>
      </c>
      <c r="E405" s="105"/>
      <c r="T405" s="105" t="s">
        <v>731</v>
      </c>
      <c r="U405" s="111" t="s">
        <v>740</v>
      </c>
      <c r="V405" s="107">
        <v>17.5</v>
      </c>
    </row>
    <row r="406" spans="1:22">
      <c r="A406" s="123" t="s">
        <v>741</v>
      </c>
      <c r="B406" s="59">
        <f>+B405+1</f>
        <v>398</v>
      </c>
      <c r="C406" s="102">
        <v>26.3</v>
      </c>
      <c r="D406" s="92" t="str">
        <f>+A406</f>
        <v>MERCURY (OTHER)</v>
      </c>
      <c r="E406" s="105"/>
      <c r="T406" s="105" t="s">
        <v>733</v>
      </c>
      <c r="U406" s="111" t="s">
        <v>742</v>
      </c>
      <c r="V406" s="107">
        <v>31.4</v>
      </c>
    </row>
    <row r="407" spans="1:22">
      <c r="A407" s="123" t="s">
        <v>743</v>
      </c>
      <c r="B407" s="59">
        <f>+B406+1</f>
        <v>399</v>
      </c>
      <c r="C407" s="102">
        <v>26.3</v>
      </c>
      <c r="D407" s="92" t="str">
        <f>+A407</f>
        <v>MERCURY (URINE)</v>
      </c>
      <c r="E407" s="105"/>
      <c r="T407" s="105" t="s">
        <v>735</v>
      </c>
      <c r="U407" s="108" t="s">
        <v>744</v>
      </c>
      <c r="V407" s="107">
        <v>31.4</v>
      </c>
    </row>
    <row r="408" spans="1:22">
      <c r="A408" s="123" t="s">
        <v>745</v>
      </c>
      <c r="B408" s="59">
        <f>+B407+1</f>
        <v>400</v>
      </c>
      <c r="C408" s="102">
        <v>26.3</v>
      </c>
      <c r="D408" s="92" t="str">
        <f>+A408</f>
        <v>MOLYBDENUM (BLOOD)</v>
      </c>
      <c r="E408" s="105"/>
      <c r="T408" s="105" t="s">
        <v>737</v>
      </c>
      <c r="U408" s="108" t="s">
        <v>746</v>
      </c>
      <c r="V408" s="107">
        <v>31.4</v>
      </c>
    </row>
    <row r="409" spans="1:22">
      <c r="A409" s="123" t="s">
        <v>747</v>
      </c>
      <c r="B409" s="59">
        <f>+B408+1</f>
        <v>401</v>
      </c>
      <c r="C409" s="102">
        <v>26.3</v>
      </c>
      <c r="D409" s="92" t="str">
        <f>+A409</f>
        <v>MOLYBDENUM (OTHER)</v>
      </c>
      <c r="E409" s="105"/>
      <c r="T409" s="105" t="s">
        <v>739</v>
      </c>
      <c r="U409" s="108" t="s">
        <v>748</v>
      </c>
      <c r="V409" s="107">
        <v>26.3</v>
      </c>
    </row>
    <row r="410" spans="1:22">
      <c r="A410" s="123" t="s">
        <v>749</v>
      </c>
      <c r="B410" s="59">
        <f>+B409+1</f>
        <v>402</v>
      </c>
      <c r="C410" s="102">
        <v>26.3</v>
      </c>
      <c r="D410" s="92" t="str">
        <f>+A410</f>
        <v>MOLYBDENUM (PLASMA)</v>
      </c>
      <c r="E410" s="105"/>
      <c r="T410" s="105" t="s">
        <v>741</v>
      </c>
      <c r="U410" s="108" t="s">
        <v>750</v>
      </c>
      <c r="V410" s="107">
        <v>26.3</v>
      </c>
    </row>
    <row r="411" spans="1:22">
      <c r="A411" s="123" t="s">
        <v>751</v>
      </c>
      <c r="B411" s="59">
        <f>+B410+1</f>
        <v>403</v>
      </c>
      <c r="C411" s="102">
        <v>26.3</v>
      </c>
      <c r="D411" s="92" t="str">
        <f>+A411</f>
        <v>MOLYBDENUM (URINE)</v>
      </c>
      <c r="E411" s="105"/>
      <c r="T411" s="105" t="s">
        <v>743</v>
      </c>
      <c r="U411" s="108" t="s">
        <v>752</v>
      </c>
      <c r="V411" s="107">
        <v>26.3</v>
      </c>
    </row>
    <row r="412" spans="1:22">
      <c r="A412" s="126" t="s">
        <v>753</v>
      </c>
      <c r="B412" s="59">
        <f>+B411+1</f>
        <v>404</v>
      </c>
      <c r="C412" s="102">
        <v>26.3</v>
      </c>
      <c r="D412" s="92" t="str">
        <f>+A412</f>
        <v>NICKEL (OTHER)</v>
      </c>
      <c r="E412" s="105"/>
      <c r="T412" s="105" t="s">
        <v>754</v>
      </c>
      <c r="U412" s="108" t="s">
        <v>755</v>
      </c>
      <c r="V412" s="107">
        <v>26.3</v>
      </c>
    </row>
    <row r="413" spans="1:22">
      <c r="A413" s="123" t="s">
        <v>756</v>
      </c>
      <c r="B413" s="59">
        <f>+B412+1</f>
        <v>405</v>
      </c>
      <c r="C413" s="102">
        <v>26.3</v>
      </c>
      <c r="D413" s="92" t="str">
        <f>+A413</f>
        <v>NICKEL (PLASMA)</v>
      </c>
      <c r="E413" s="105"/>
      <c r="T413" s="105" t="s">
        <v>747</v>
      </c>
      <c r="U413" s="108" t="s">
        <v>757</v>
      </c>
      <c r="V413" s="107">
        <v>26.3</v>
      </c>
    </row>
    <row r="414" spans="1:22">
      <c r="A414" s="123" t="s">
        <v>758</v>
      </c>
      <c r="B414" s="59">
        <f>+B413+1</f>
        <v>406</v>
      </c>
      <c r="C414" s="102">
        <v>26.3</v>
      </c>
      <c r="D414" s="92" t="str">
        <f>+A414</f>
        <v>NICKEL (URINE)</v>
      </c>
      <c r="E414" s="105"/>
      <c r="T414" s="105" t="s">
        <v>749</v>
      </c>
      <c r="U414" s="108" t="s">
        <v>759</v>
      </c>
      <c r="V414" s="107">
        <v>26.3</v>
      </c>
    </row>
    <row r="415" spans="1:22">
      <c r="A415" s="123" t="s">
        <v>760</v>
      </c>
      <c r="B415" s="59">
        <f>+B414+1</f>
        <v>407</v>
      </c>
      <c r="C415" s="102">
        <v>26.3</v>
      </c>
      <c r="D415" s="92" t="str">
        <f>+A415</f>
        <v>PLATINUM (BLOOD)</v>
      </c>
      <c r="E415" s="105"/>
      <c r="T415" s="105" t="s">
        <v>751</v>
      </c>
      <c r="U415" s="108" t="s">
        <v>761</v>
      </c>
      <c r="V415" s="107">
        <v>26.3</v>
      </c>
    </row>
    <row r="416" spans="1:22">
      <c r="A416" s="123" t="s">
        <v>762</v>
      </c>
      <c r="B416" s="59">
        <f>+B415+1</f>
        <v>408</v>
      </c>
      <c r="C416" s="102">
        <v>26.3</v>
      </c>
      <c r="D416" s="92" t="str">
        <f>+A416</f>
        <v>PLATINUM (OTHER)</v>
      </c>
      <c r="E416" s="110"/>
      <c r="T416" s="110" t="s">
        <v>753</v>
      </c>
      <c r="U416" s="127" t="s">
        <v>763</v>
      </c>
      <c r="V416" s="107">
        <v>26.3</v>
      </c>
    </row>
    <row r="417" spans="1:22">
      <c r="A417" s="123" t="s">
        <v>764</v>
      </c>
      <c r="B417" s="59">
        <f>+B416+1</f>
        <v>409</v>
      </c>
      <c r="C417" s="102">
        <v>26.3</v>
      </c>
      <c r="D417" s="92" t="str">
        <f>+A417</f>
        <v>PLATINUM (URINE)</v>
      </c>
      <c r="E417" s="105"/>
      <c r="T417" s="105" t="s">
        <v>756</v>
      </c>
      <c r="U417" s="111" t="s">
        <v>765</v>
      </c>
      <c r="V417" s="107">
        <v>26.3</v>
      </c>
    </row>
    <row r="418" spans="1:22">
      <c r="A418" s="123" t="s">
        <v>766</v>
      </c>
      <c r="B418" s="59">
        <f>+B417+1</f>
        <v>410</v>
      </c>
      <c r="C418" s="102">
        <v>26.3</v>
      </c>
      <c r="D418" s="92" t="str">
        <f>+A418</f>
        <v>SELENIUM</v>
      </c>
      <c r="E418" s="105"/>
      <c r="T418" s="105" t="s">
        <v>758</v>
      </c>
      <c r="U418" s="111" t="s">
        <v>767</v>
      </c>
      <c r="V418" s="107">
        <v>26.3</v>
      </c>
    </row>
    <row r="419" spans="1:22">
      <c r="A419" s="123" t="s">
        <v>768</v>
      </c>
      <c r="B419" s="59">
        <f>+B418+1</f>
        <v>411</v>
      </c>
      <c r="C419" s="102">
        <v>26.3</v>
      </c>
      <c r="D419" s="92" t="str">
        <f>+A419</f>
        <v>SELENIUM  (PLASMA)</v>
      </c>
      <c r="E419" s="105"/>
      <c r="T419" s="105" t="s">
        <v>760</v>
      </c>
      <c r="U419" s="108" t="s">
        <v>769</v>
      </c>
      <c r="V419" s="107">
        <v>26.3</v>
      </c>
    </row>
    <row r="420" spans="1:22">
      <c r="A420" s="123" t="s">
        <v>770</v>
      </c>
      <c r="B420" s="59">
        <f>+B419+1</f>
        <v>412</v>
      </c>
      <c r="C420" s="102">
        <v>26.3</v>
      </c>
      <c r="D420" s="92" t="str">
        <f>+A420</f>
        <v>SELENIUM (OTHER)</v>
      </c>
      <c r="E420" s="105"/>
      <c r="T420" s="105" t="s">
        <v>762</v>
      </c>
      <c r="U420" s="108" t="s">
        <v>771</v>
      </c>
      <c r="V420" s="107">
        <v>26.3</v>
      </c>
    </row>
    <row r="421" spans="1:22">
      <c r="A421" s="123" t="s">
        <v>772</v>
      </c>
      <c r="B421" s="59">
        <f>+B420+1</f>
        <v>413</v>
      </c>
      <c r="C421" s="102">
        <v>26.3</v>
      </c>
      <c r="D421" s="92" t="str">
        <f>+A421</f>
        <v>SELENIUM (URINE)</v>
      </c>
      <c r="E421" s="105"/>
      <c r="T421" s="105" t="s">
        <v>764</v>
      </c>
      <c r="U421" s="108" t="s">
        <v>773</v>
      </c>
      <c r="V421" s="107">
        <v>26.3</v>
      </c>
    </row>
    <row r="422" spans="1:22">
      <c r="A422" s="123" t="s">
        <v>774</v>
      </c>
      <c r="B422" s="59">
        <f>+B421+1</f>
        <v>414</v>
      </c>
      <c r="C422" s="102">
        <v>41.7</v>
      </c>
      <c r="D422" s="92" t="str">
        <f>+A422</f>
        <v>SILICON (OTHER)</v>
      </c>
      <c r="E422" s="105"/>
      <c r="T422" s="105" t="s">
        <v>766</v>
      </c>
      <c r="U422" s="108" t="s">
        <v>775</v>
      </c>
      <c r="V422" s="107">
        <v>26.3</v>
      </c>
    </row>
    <row r="423" spans="1:22">
      <c r="A423" s="123" t="s">
        <v>776</v>
      </c>
      <c r="B423" s="59">
        <f>+B422+1</f>
        <v>415</v>
      </c>
      <c r="C423" s="102">
        <v>41.7</v>
      </c>
      <c r="D423" s="92" t="str">
        <f>+A423</f>
        <v>SILICON (PLASMA)</v>
      </c>
      <c r="E423" s="105"/>
      <c r="T423" s="105" t="s">
        <v>768</v>
      </c>
      <c r="U423" s="108" t="s">
        <v>777</v>
      </c>
      <c r="V423" s="107">
        <v>26.3</v>
      </c>
    </row>
    <row r="424" spans="1:22">
      <c r="A424" s="123" t="s">
        <v>778</v>
      </c>
      <c r="B424" s="59">
        <f>+B423+1</f>
        <v>416</v>
      </c>
      <c r="C424" s="102">
        <v>41.7</v>
      </c>
      <c r="D424" s="92" t="str">
        <f>+A424</f>
        <v>SILICON (URINE)</v>
      </c>
      <c r="E424" s="105"/>
      <c r="T424" s="105" t="s">
        <v>770</v>
      </c>
      <c r="U424" s="108" t="s">
        <v>779</v>
      </c>
      <c r="V424" s="107">
        <v>26.3</v>
      </c>
    </row>
    <row r="425" spans="1:22">
      <c r="A425" s="123" t="s">
        <v>780</v>
      </c>
      <c r="B425" s="59">
        <f>+B424+1</f>
        <v>417</v>
      </c>
      <c r="C425" s="102">
        <v>26.3</v>
      </c>
      <c r="D425" s="92" t="str">
        <f>+A425</f>
        <v>SILVER </v>
      </c>
      <c r="E425" s="105"/>
      <c r="T425" s="105" t="s">
        <v>772</v>
      </c>
      <c r="U425" s="108" t="s">
        <v>781</v>
      </c>
      <c r="V425" s="107">
        <v>26.3</v>
      </c>
    </row>
    <row r="426" spans="1:22">
      <c r="A426" s="123" t="s">
        <v>782</v>
      </c>
      <c r="B426" s="59">
        <f>+B425+1</f>
        <v>418</v>
      </c>
      <c r="C426" s="102">
        <v>26.3</v>
      </c>
      <c r="D426" s="92" t="str">
        <f>+A426</f>
        <v>SILVER (BLOOD)</v>
      </c>
      <c r="E426" s="105"/>
      <c r="T426" s="105" t="s">
        <v>774</v>
      </c>
      <c r="U426" s="108" t="s">
        <v>783</v>
      </c>
      <c r="V426" s="107">
        <v>41.7</v>
      </c>
    </row>
    <row r="427" spans="1:22">
      <c r="A427" s="123" t="s">
        <v>784</v>
      </c>
      <c r="B427" s="59">
        <f>+B426+1</f>
        <v>419</v>
      </c>
      <c r="C427" s="102">
        <v>26.3</v>
      </c>
      <c r="D427" s="92" t="str">
        <f>+A427</f>
        <v>SILVER (OTHER)</v>
      </c>
      <c r="E427" s="105"/>
      <c r="T427" s="105" t="s">
        <v>776</v>
      </c>
      <c r="U427" s="108" t="s">
        <v>785</v>
      </c>
      <c r="V427" s="107">
        <v>41.7</v>
      </c>
    </row>
    <row r="428" spans="1:22">
      <c r="A428" s="123" t="s">
        <v>786</v>
      </c>
      <c r="B428" s="59">
        <f>+B427+1</f>
        <v>420</v>
      </c>
      <c r="C428" s="102">
        <v>26.3</v>
      </c>
      <c r="D428" s="92" t="str">
        <f>+A428</f>
        <v>SILVER (URINE)</v>
      </c>
      <c r="E428" s="105"/>
      <c r="T428" s="105" t="s">
        <v>778</v>
      </c>
      <c r="U428" s="108" t="s">
        <v>787</v>
      </c>
      <c r="V428" s="107">
        <v>41.7</v>
      </c>
    </row>
    <row r="429" spans="1:22">
      <c r="A429" s="123" t="s">
        <v>788</v>
      </c>
      <c r="B429" s="59">
        <f>+B428+1</f>
        <v>421</v>
      </c>
      <c r="C429" s="102">
        <v>26.3</v>
      </c>
      <c r="D429" s="92" t="str">
        <f>+A429</f>
        <v>STRONTIUM (OTHER)</v>
      </c>
      <c r="E429" s="105"/>
      <c r="T429" s="105" t="s">
        <v>780</v>
      </c>
      <c r="U429" s="108" t="s">
        <v>789</v>
      </c>
      <c r="V429" s="107">
        <v>26.3</v>
      </c>
    </row>
    <row r="430" spans="1:22">
      <c r="A430" s="123" t="s">
        <v>790</v>
      </c>
      <c r="B430" s="59">
        <f>+B429+1</f>
        <v>422</v>
      </c>
      <c r="C430" s="102">
        <v>26.3</v>
      </c>
      <c r="D430" s="92" t="str">
        <f>+A430</f>
        <v>STRONTIUM (PLASMA)</v>
      </c>
      <c r="E430" s="105"/>
      <c r="T430" s="105" t="s">
        <v>782</v>
      </c>
      <c r="U430" s="108" t="s">
        <v>791</v>
      </c>
      <c r="V430" s="107">
        <v>26.3</v>
      </c>
    </row>
    <row r="431" spans="1:22">
      <c r="A431" s="123" t="s">
        <v>792</v>
      </c>
      <c r="B431" s="59">
        <f>+B430+1</f>
        <v>423</v>
      </c>
      <c r="C431" s="102">
        <v>26.3</v>
      </c>
      <c r="D431" s="92" t="str">
        <f>+A431</f>
        <v>STRONTIUM (URINE)</v>
      </c>
      <c r="E431" s="105"/>
      <c r="T431" s="105" t="s">
        <v>784</v>
      </c>
      <c r="U431" s="108" t="s">
        <v>793</v>
      </c>
      <c r="V431" s="107">
        <v>26.3</v>
      </c>
    </row>
    <row r="432" spans="1:22">
      <c r="A432" s="123" t="s">
        <v>794</v>
      </c>
      <c r="B432" s="59">
        <f>+B431+1</f>
        <v>424</v>
      </c>
      <c r="C432" s="102">
        <v>26.3</v>
      </c>
      <c r="D432" s="92" t="str">
        <f>+A432</f>
        <v>TELLURIUM (BLOOD)</v>
      </c>
      <c r="E432" s="105"/>
      <c r="T432" s="105" t="s">
        <v>786</v>
      </c>
      <c r="U432" s="108" t="s">
        <v>795</v>
      </c>
      <c r="V432" s="107">
        <v>26.3</v>
      </c>
    </row>
    <row r="433" spans="1:22">
      <c r="A433" s="123" t="s">
        <v>796</v>
      </c>
      <c r="B433" s="59">
        <f>+B432+1</f>
        <v>425</v>
      </c>
      <c r="C433" s="102">
        <v>26.3</v>
      </c>
      <c r="D433" s="92" t="str">
        <f>+A433</f>
        <v>TELLURIUM (OTHER)</v>
      </c>
      <c r="E433" s="105"/>
      <c r="T433" s="105" t="s">
        <v>788</v>
      </c>
      <c r="U433" s="108" t="s">
        <v>797</v>
      </c>
      <c r="V433" s="107">
        <v>26.3</v>
      </c>
    </row>
    <row r="434" spans="1:22">
      <c r="A434" s="123" t="s">
        <v>798</v>
      </c>
      <c r="B434" s="59">
        <f>+B433+1</f>
        <v>426</v>
      </c>
      <c r="C434" s="102">
        <v>26.3</v>
      </c>
      <c r="D434" s="92" t="str">
        <f>+A434</f>
        <v>TELLURIUM (PLASMA)</v>
      </c>
      <c r="E434" s="105"/>
      <c r="T434" s="105" t="s">
        <v>790</v>
      </c>
      <c r="U434" s="108" t="s">
        <v>799</v>
      </c>
      <c r="V434" s="107">
        <v>26.3</v>
      </c>
    </row>
    <row r="435" spans="1:22">
      <c r="A435" s="123" t="s">
        <v>800</v>
      </c>
      <c r="B435" s="59">
        <f>+B434+1</f>
        <v>427</v>
      </c>
      <c r="C435" s="102">
        <v>26.3</v>
      </c>
      <c r="D435" s="92" t="str">
        <f>+A435</f>
        <v>TELLURIUM (URINE)</v>
      </c>
      <c r="E435" s="105"/>
      <c r="T435" s="105" t="s">
        <v>792</v>
      </c>
      <c r="U435" s="108" t="s">
        <v>801</v>
      </c>
      <c r="V435" s="107">
        <v>26.3</v>
      </c>
    </row>
    <row r="436" spans="1:22">
      <c r="A436" s="123" t="s">
        <v>802</v>
      </c>
      <c r="B436" s="59">
        <f>+B435+1</f>
        <v>428</v>
      </c>
      <c r="C436" s="102">
        <v>26.3</v>
      </c>
      <c r="D436" s="92" t="str">
        <f>+A436</f>
        <v>THALLIUM (BLOOD)</v>
      </c>
      <c r="E436" s="105"/>
      <c r="T436" s="105" t="s">
        <v>794</v>
      </c>
      <c r="U436" s="108" t="s">
        <v>803</v>
      </c>
      <c r="V436" s="107">
        <v>26.3</v>
      </c>
    </row>
    <row r="437" spans="1:22">
      <c r="A437" s="123" t="s">
        <v>804</v>
      </c>
      <c r="B437" s="59">
        <f>+B436+1</f>
        <v>429</v>
      </c>
      <c r="C437" s="102">
        <v>26.3</v>
      </c>
      <c r="D437" s="92" t="str">
        <f>+A437</f>
        <v>THALLIUM (URINE)</v>
      </c>
      <c r="E437" s="105"/>
      <c r="T437" s="105" t="s">
        <v>796</v>
      </c>
      <c r="U437" s="108" t="s">
        <v>805</v>
      </c>
      <c r="V437" s="107">
        <v>26.3</v>
      </c>
    </row>
    <row r="438" spans="1:22">
      <c r="A438" s="123" t="s">
        <v>806</v>
      </c>
      <c r="B438" s="59">
        <f>+B437+1</f>
        <v>430</v>
      </c>
      <c r="C438" s="102">
        <v>26.3</v>
      </c>
      <c r="D438" s="92" t="str">
        <f>+A438</f>
        <v>TIN (BLOOD)</v>
      </c>
      <c r="E438" s="105"/>
      <c r="T438" s="105" t="s">
        <v>798</v>
      </c>
      <c r="U438" s="108" t="s">
        <v>807</v>
      </c>
      <c r="V438" s="107">
        <v>26.3</v>
      </c>
    </row>
    <row r="439" spans="1:22">
      <c r="A439" s="123" t="s">
        <v>808</v>
      </c>
      <c r="B439" s="59">
        <f>+B438+1</f>
        <v>431</v>
      </c>
      <c r="C439" s="102">
        <v>26.3</v>
      </c>
      <c r="D439" s="92" t="str">
        <f>+A439</f>
        <v>TIN (OTHER)</v>
      </c>
      <c r="E439" s="105"/>
      <c r="T439" s="105" t="s">
        <v>800</v>
      </c>
      <c r="U439" s="108" t="s">
        <v>809</v>
      </c>
      <c r="V439" s="107">
        <v>26.3</v>
      </c>
    </row>
    <row r="440" spans="1:22">
      <c r="A440" s="123" t="s">
        <v>810</v>
      </c>
      <c r="B440" s="59">
        <f>+B439+1</f>
        <v>432</v>
      </c>
      <c r="C440" s="102">
        <v>26.3</v>
      </c>
      <c r="D440" s="92" t="str">
        <f>+A440</f>
        <v>TIN (PLASMA)</v>
      </c>
      <c r="E440" s="105"/>
      <c r="T440" s="105" t="s">
        <v>802</v>
      </c>
      <c r="U440" s="108" t="s">
        <v>811</v>
      </c>
      <c r="V440" s="107">
        <v>26.3</v>
      </c>
    </row>
    <row r="441" spans="1:22">
      <c r="A441" s="123" t="s">
        <v>812</v>
      </c>
      <c r="B441" s="59">
        <f>+B440+1</f>
        <v>433</v>
      </c>
      <c r="C441" s="102">
        <v>26.3</v>
      </c>
      <c r="D441" s="92" t="str">
        <f>+A441</f>
        <v>TIN (URINE)</v>
      </c>
      <c r="E441" s="105"/>
      <c r="T441" s="105" t="s">
        <v>804</v>
      </c>
      <c r="U441" s="108" t="s">
        <v>813</v>
      </c>
      <c r="V441" s="107">
        <v>26.3</v>
      </c>
    </row>
    <row r="442" spans="1:22">
      <c r="A442" s="123" t="s">
        <v>814</v>
      </c>
      <c r="B442" s="59">
        <f>+B441+1</f>
        <v>434</v>
      </c>
      <c r="C442" s="102">
        <v>57.7</v>
      </c>
      <c r="D442" s="92" t="str">
        <f>+A442</f>
        <v>TITANIUM (OTHER)</v>
      </c>
      <c r="E442" s="105"/>
      <c r="T442" s="105" t="s">
        <v>806</v>
      </c>
      <c r="U442" s="108" t="s">
        <v>815</v>
      </c>
      <c r="V442" s="107">
        <v>26.3</v>
      </c>
    </row>
    <row r="443" spans="1:22">
      <c r="A443" s="123" t="s">
        <v>816</v>
      </c>
      <c r="B443" s="59">
        <f>+B442+1</f>
        <v>435</v>
      </c>
      <c r="C443" s="102">
        <v>57.7</v>
      </c>
      <c r="D443" s="92" t="str">
        <f>+A443</f>
        <v>TITANIUM (PLASMA)</v>
      </c>
      <c r="E443" s="105"/>
      <c r="T443" s="105" t="s">
        <v>808</v>
      </c>
      <c r="U443" s="108" t="s">
        <v>817</v>
      </c>
      <c r="V443" s="107">
        <v>26.3</v>
      </c>
    </row>
    <row r="444" spans="1:22">
      <c r="A444" s="123" t="s">
        <v>818</v>
      </c>
      <c r="B444" s="59">
        <f>+B443+1</f>
        <v>436</v>
      </c>
      <c r="C444" s="102">
        <v>57.7</v>
      </c>
      <c r="D444" s="92" t="str">
        <f>+A444</f>
        <v>TITANIUM (URINE)</v>
      </c>
      <c r="E444" s="105"/>
      <c r="T444" s="105" t="s">
        <v>810</v>
      </c>
      <c r="U444" s="108" t="s">
        <v>819</v>
      </c>
      <c r="V444" s="107">
        <v>26.3</v>
      </c>
    </row>
    <row r="445" spans="1:22">
      <c r="A445" s="123" t="s">
        <v>820</v>
      </c>
      <c r="B445" s="59">
        <f>+B444+1</f>
        <v>437</v>
      </c>
      <c r="C445" s="102">
        <v>26.3</v>
      </c>
      <c r="D445" s="92" t="str">
        <f>+A445</f>
        <v>TUNGSTEN (PLASMA)</v>
      </c>
      <c r="E445" s="105"/>
      <c r="T445" s="105" t="s">
        <v>812</v>
      </c>
      <c r="U445" s="108" t="s">
        <v>821</v>
      </c>
      <c r="V445" s="107">
        <v>26.3</v>
      </c>
    </row>
    <row r="446" spans="1:22">
      <c r="A446" s="123" t="s">
        <v>822</v>
      </c>
      <c r="B446" s="59">
        <f>+B445+1</f>
        <v>438</v>
      </c>
      <c r="C446" s="102">
        <v>26.3</v>
      </c>
      <c r="D446" s="92" t="str">
        <f>+A446</f>
        <v>TUNGSTEN (URINE)</v>
      </c>
      <c r="E446" s="105"/>
      <c r="T446" s="105" t="s">
        <v>814</v>
      </c>
      <c r="U446" s="108" t="s">
        <v>823</v>
      </c>
      <c r="V446" s="107">
        <v>57.7</v>
      </c>
    </row>
    <row r="447" spans="1:22">
      <c r="A447" s="123" t="s">
        <v>824</v>
      </c>
      <c r="B447" s="59">
        <f>+B446+1</f>
        <v>439</v>
      </c>
      <c r="C447" s="102">
        <v>41.7</v>
      </c>
      <c r="D447" s="92" t="str">
        <f>+A447</f>
        <v>URANIUM (URINE not reported)</v>
      </c>
      <c r="E447" s="105"/>
      <c r="T447" s="105" t="s">
        <v>816</v>
      </c>
      <c r="U447" s="108" t="s">
        <v>825</v>
      </c>
      <c r="V447" s="107">
        <v>57.7</v>
      </c>
    </row>
    <row r="448" spans="1:22">
      <c r="A448" s="123" t="s">
        <v>826</v>
      </c>
      <c r="B448" s="59">
        <f>+B447+1</f>
        <v>440</v>
      </c>
      <c r="C448" s="102">
        <v>41.7</v>
      </c>
      <c r="D448" s="92" t="str">
        <f>+A448</f>
        <v>URANIUM (URINE)</v>
      </c>
      <c r="E448" s="105"/>
      <c r="T448" s="105" t="s">
        <v>818</v>
      </c>
      <c r="U448" s="108" t="s">
        <v>827</v>
      </c>
      <c r="V448" s="107">
        <v>57.7</v>
      </c>
    </row>
    <row r="449" spans="1:22">
      <c r="A449" s="123" t="s">
        <v>828</v>
      </c>
      <c r="B449" s="59">
        <f>+B448+1</f>
        <v>441</v>
      </c>
      <c r="C449" s="102">
        <v>26.3</v>
      </c>
      <c r="D449" s="92" t="str">
        <f>+A449</f>
        <v>VANADIUM (OTHER)</v>
      </c>
      <c r="E449" s="105"/>
      <c r="T449" s="105" t="s">
        <v>829</v>
      </c>
      <c r="U449" s="108" t="s">
        <v>830</v>
      </c>
      <c r="V449" s="107">
        <v>13.9</v>
      </c>
    </row>
    <row r="450" spans="1:22">
      <c r="A450" s="123" t="s">
        <v>831</v>
      </c>
      <c r="B450" s="59">
        <f>+B449+1</f>
        <v>442</v>
      </c>
      <c r="C450" s="102">
        <v>26.3</v>
      </c>
      <c r="D450" s="92" t="str">
        <f>+A450</f>
        <v>VANADIUM (PLASMA)</v>
      </c>
      <c r="E450" s="105"/>
      <c r="T450" s="105" t="s">
        <v>820</v>
      </c>
      <c r="U450" s="108" t="s">
        <v>832</v>
      </c>
      <c r="V450" s="107">
        <v>26.3</v>
      </c>
    </row>
    <row r="451" spans="1:22">
      <c r="A451" s="123" t="s">
        <v>833</v>
      </c>
      <c r="B451" s="59">
        <f>+B450+1</f>
        <v>443</v>
      </c>
      <c r="C451" s="102">
        <v>26.3</v>
      </c>
      <c r="D451" s="92" t="str">
        <f>+A451</f>
        <v>VANADIUM (URINE)</v>
      </c>
      <c r="E451" s="105"/>
      <c r="T451" s="105" t="s">
        <v>822</v>
      </c>
      <c r="U451" s="108" t="s">
        <v>834</v>
      </c>
      <c r="V451" s="107">
        <v>26.3</v>
      </c>
    </row>
    <row r="452" spans="1:22">
      <c r="A452" s="123" t="s">
        <v>835</v>
      </c>
      <c r="B452" s="59">
        <f>+B451+1</f>
        <v>444</v>
      </c>
      <c r="C452" s="102">
        <v>17.5</v>
      </c>
      <c r="D452" s="92" t="str">
        <f>+A452</f>
        <v>ZINC (BLOOD)</v>
      </c>
      <c r="E452" s="105"/>
      <c r="T452" s="105" t="s">
        <v>824</v>
      </c>
      <c r="U452" s="108" t="s">
        <v>836</v>
      </c>
      <c r="V452" s="107">
        <v>41.7</v>
      </c>
    </row>
    <row r="453" spans="1:22">
      <c r="A453" s="123" t="s">
        <v>837</v>
      </c>
      <c r="B453" s="59">
        <f>+B452+1</f>
        <v>445</v>
      </c>
      <c r="C453" s="102">
        <v>17.5</v>
      </c>
      <c r="D453" s="92" t="str">
        <f>+A453</f>
        <v>ZINC (OTHER)</v>
      </c>
      <c r="E453" s="105"/>
      <c r="T453" s="105" t="s">
        <v>826</v>
      </c>
      <c r="U453" s="108" t="s">
        <v>838</v>
      </c>
      <c r="V453" s="107">
        <v>41.7</v>
      </c>
    </row>
    <row r="454" spans="1:22">
      <c r="A454" s="123" t="s">
        <v>839</v>
      </c>
      <c r="B454" s="59">
        <f>+B453+1</f>
        <v>446</v>
      </c>
      <c r="C454" s="102">
        <v>17.5</v>
      </c>
      <c r="D454" s="92" t="str">
        <f>+A454</f>
        <v>ZINC (PLASMA)</v>
      </c>
      <c r="E454" s="105"/>
      <c r="T454" s="105" t="s">
        <v>828</v>
      </c>
      <c r="U454" s="108" t="s">
        <v>840</v>
      </c>
      <c r="V454" s="107">
        <v>26.3</v>
      </c>
    </row>
    <row r="455" spans="1:22">
      <c r="A455" s="123" t="s">
        <v>841</v>
      </c>
      <c r="B455" s="59">
        <f>+B454+1</f>
        <v>447</v>
      </c>
      <c r="C455" s="102">
        <v>17.5</v>
      </c>
      <c r="D455" s="92" t="str">
        <f>+A455</f>
        <v>ZINC (URINE)</v>
      </c>
      <c r="E455" s="105"/>
      <c r="T455" s="105" t="s">
        <v>831</v>
      </c>
      <c r="U455" s="108" t="s">
        <v>842</v>
      </c>
      <c r="V455" s="107">
        <v>26.3</v>
      </c>
    </row>
    <row r="456" spans="1:22">
      <c r="A456" s="123" t="s">
        <v>843</v>
      </c>
      <c r="B456" s="59">
        <f>+B455+1</f>
        <v>448</v>
      </c>
      <c r="C456" s="102">
        <v>25</v>
      </c>
      <c r="D456" s="92" t="str">
        <f>+A456</f>
        <v>COBALT &amp; CHROMIUM (BLOOD)</v>
      </c>
      <c r="E456" s="105"/>
      <c r="T456" s="105" t="s">
        <v>833</v>
      </c>
      <c r="U456" s="108" t="s">
        <v>844</v>
      </c>
      <c r="V456" s="107">
        <v>26.3</v>
      </c>
    </row>
    <row r="457" spans="1:22">
      <c r="A457" s="123" t="s">
        <v>845</v>
      </c>
      <c r="B457" s="59">
        <f>+B456+1</f>
        <v>449</v>
      </c>
      <c r="C457" s="102">
        <v>25</v>
      </c>
      <c r="D457" s="92" t="str">
        <f>+A457</f>
        <v>COBALT &amp; CHROMIUM (PLASMA)</v>
      </c>
      <c r="E457" s="105"/>
      <c r="T457" s="105" t="s">
        <v>835</v>
      </c>
      <c r="U457" s="108" t="s">
        <v>846</v>
      </c>
      <c r="V457" s="107">
        <v>17.5</v>
      </c>
    </row>
    <row r="458" spans="1:22">
      <c r="A458" s="126" t="s">
        <v>847</v>
      </c>
      <c r="B458" s="59">
        <f>+B457+1</f>
        <v>450</v>
      </c>
      <c r="C458" s="102">
        <v>26.3</v>
      </c>
      <c r="D458" s="92" t="str">
        <f>+A458</f>
        <v>COPPER + ZINC (PLASMA)</v>
      </c>
      <c r="E458" s="105"/>
      <c r="T458" s="105" t="s">
        <v>837</v>
      </c>
      <c r="U458" s="108" t="s">
        <v>848</v>
      </c>
      <c r="V458" s="107">
        <v>17.5</v>
      </c>
    </row>
    <row r="459" spans="1:22">
      <c r="A459" s="126" t="s">
        <v>849</v>
      </c>
      <c r="B459" s="59">
        <f>+B458+1</f>
        <v>451</v>
      </c>
      <c r="C459" s="102">
        <v>41.9</v>
      </c>
      <c r="D459" s="92" t="str">
        <f>+A459</f>
        <v>COPPER + ZINC + SELENIUM (PLASMA)</v>
      </c>
      <c r="E459" s="105"/>
      <c r="T459" s="105" t="s">
        <v>839</v>
      </c>
      <c r="U459" s="108" t="s">
        <v>850</v>
      </c>
      <c r="V459" s="107">
        <v>17.5</v>
      </c>
    </row>
    <row r="460" spans="1:22">
      <c r="A460" s="126" t="s">
        <v>849</v>
      </c>
      <c r="B460" s="59">
        <f>+B459+1</f>
        <v>452</v>
      </c>
      <c r="C460" s="102">
        <v>41.9</v>
      </c>
      <c r="D460" s="92" t="str">
        <f>+A460</f>
        <v>COPPER + ZINC + SELENIUM (PLASMA)</v>
      </c>
      <c r="E460" s="105"/>
      <c r="T460" s="105" t="s">
        <v>841</v>
      </c>
      <c r="U460" s="108" t="s">
        <v>851</v>
      </c>
      <c r="V460" s="107">
        <v>17.5</v>
      </c>
    </row>
    <row r="461" spans="1:22">
      <c r="A461" s="126" t="s">
        <v>852</v>
      </c>
      <c r="B461" s="59">
        <f>+B460+1</f>
        <v>453</v>
      </c>
      <c r="C461" s="102">
        <v>99.6</v>
      </c>
      <c r="D461" s="92" t="str">
        <f>+A461</f>
        <v>TOXIC SCREEN (ALL METALS (BLOOD/URIINE)</v>
      </c>
      <c r="E461" s="110"/>
      <c r="T461" s="110" t="s">
        <v>847</v>
      </c>
      <c r="U461" s="111" t="s">
        <v>853</v>
      </c>
      <c r="V461" s="107">
        <v>26.3</v>
      </c>
    </row>
    <row r="462" spans="1:22">
      <c r="A462" s="126" t="s">
        <v>852</v>
      </c>
      <c r="B462" s="59">
        <f>+B461+1</f>
        <v>454</v>
      </c>
      <c r="C462" s="102">
        <v>99.6</v>
      </c>
      <c r="D462" s="92" t="str">
        <f>+A462</f>
        <v>TOXIC SCREEN (ALL METALS (BLOOD/URIINE)</v>
      </c>
      <c r="E462" s="110"/>
      <c r="T462" s="110" t="s">
        <v>849</v>
      </c>
      <c r="U462" s="111" t="s">
        <v>854</v>
      </c>
      <c r="V462" s="107">
        <v>41.9</v>
      </c>
    </row>
    <row r="463" spans="1:22">
      <c r="A463" s="126" t="s">
        <v>855</v>
      </c>
      <c r="B463" s="59">
        <f>+B462+1</f>
        <v>455</v>
      </c>
      <c r="C463" s="102">
        <v>99.6</v>
      </c>
      <c r="D463" s="92" t="str">
        <f>+A463</f>
        <v>LEAD ISOTOPES RATIO (BLOOD/SOURCES OF LEAD)</v>
      </c>
      <c r="E463" s="110"/>
      <c r="T463" s="110" t="s">
        <v>852</v>
      </c>
      <c r="U463" s="108" t="s">
        <v>856</v>
      </c>
      <c r="V463" s="107">
        <v>99.6</v>
      </c>
    </row>
    <row r="464" spans="1:22" ht="13">
      <c r="A464" s="128" t="s">
        <v>857</v>
      </c>
      <c r="B464" s="59">
        <f>+B463+1</f>
        <v>456</v>
      </c>
      <c r="C464" s="102">
        <v>0</v>
      </c>
      <c r="D464" s="92" t="str">
        <f>+A464</f>
        <v>HAEMATOLOGY</v>
      </c>
      <c r="E464" s="129"/>
      <c r="T464" s="128" t="s">
        <v>858</v>
      </c>
      <c r="U464" s="109"/>
      <c r="V464" s="107"/>
    </row>
    <row r="465" spans="1:22" ht="13">
      <c r="A465" s="130" t="s">
        <v>859</v>
      </c>
      <c r="B465" s="59">
        <f>+B464+1</f>
        <v>457</v>
      </c>
      <c r="C465" s="102">
        <v>3.1</v>
      </c>
      <c r="D465" s="92" t="str">
        <f>+A465</f>
        <v>FULL BLOOD COUNT</v>
      </c>
      <c r="E465" s="129"/>
      <c r="T465" s="128"/>
      <c r="U465" s="109"/>
      <c r="V465" s="107"/>
    </row>
    <row r="466" spans="1:22">
      <c r="A466" s="130" t="s">
        <v>860</v>
      </c>
      <c r="B466" s="59">
        <f>+B465+1</f>
        <v>458</v>
      </c>
      <c r="C466" s="102">
        <v>8.7</v>
      </c>
      <c r="D466" s="92" t="str">
        <f>+A466</f>
        <v>FILM</v>
      </c>
      <c r="E466" s="130"/>
      <c r="T466" s="130" t="s">
        <v>861</v>
      </c>
      <c r="U466" s="111" t="s">
        <v>862</v>
      </c>
      <c r="V466" s="107">
        <v>18.8</v>
      </c>
    </row>
    <row r="467" spans="1:22">
      <c r="A467" s="130" t="s">
        <v>863</v>
      </c>
      <c r="B467" s="59">
        <f>+B466+1</f>
        <v>459</v>
      </c>
      <c r="C467" s="102">
        <v>3.9</v>
      </c>
      <c r="D467" s="92" t="str">
        <f>+A467</f>
        <v>ESR</v>
      </c>
      <c r="E467" s="130"/>
      <c r="T467" s="130"/>
      <c r="U467" s="111"/>
      <c r="V467" s="107"/>
    </row>
    <row r="468" spans="1:22">
      <c r="A468" s="130" t="s">
        <v>864</v>
      </c>
      <c r="B468" s="59">
        <f>+B467+1</f>
        <v>460</v>
      </c>
      <c r="C468" s="102">
        <v>22.1</v>
      </c>
      <c r="D468" s="92" t="str">
        <f>+A468</f>
        <v>MALARIAL SCREEN</v>
      </c>
      <c r="E468" s="130"/>
      <c r="T468" s="130"/>
      <c r="U468" s="111"/>
      <c r="V468" s="107"/>
    </row>
    <row r="469" spans="1:22">
      <c r="A469" s="130" t="s">
        <v>865</v>
      </c>
      <c r="B469" s="59">
        <f>+B468+1</f>
        <v>461</v>
      </c>
      <c r="C469" s="102">
        <v>4.3</v>
      </c>
      <c r="D469" s="92" t="str">
        <f>+A469</f>
        <v>IM SCREEN</v>
      </c>
      <c r="E469" s="130"/>
      <c r="T469" s="130"/>
      <c r="U469" s="111"/>
      <c r="V469" s="107"/>
    </row>
    <row r="470" spans="1:22">
      <c r="A470" s="130" t="s">
        <v>866</v>
      </c>
      <c r="B470" s="59">
        <f>+B469+1</f>
        <v>462</v>
      </c>
      <c r="C470" s="102">
        <v>4.7</v>
      </c>
      <c r="D470" s="92" t="str">
        <f>+A470</f>
        <v>CLOTTING SCREEN</v>
      </c>
      <c r="E470" s="130"/>
      <c r="T470" s="130"/>
      <c r="U470" s="111"/>
      <c r="V470" s="107"/>
    </row>
    <row r="471" spans="1:22">
      <c r="A471" s="130" t="s">
        <v>867</v>
      </c>
      <c r="B471" s="59">
        <f>+B470+1</f>
        <v>463</v>
      </c>
      <c r="C471" s="102">
        <v>3.3</v>
      </c>
      <c r="D471" s="92" t="str">
        <f>+A471</f>
        <v>ACTIVATED PARTIAL THROMBOPLASTIN TIME</v>
      </c>
      <c r="E471" s="130"/>
      <c r="T471" s="130"/>
      <c r="U471" s="111"/>
      <c r="V471" s="107"/>
    </row>
    <row r="472" spans="1:22">
      <c r="A472" s="130" t="s">
        <v>868</v>
      </c>
      <c r="B472" s="59">
        <f>+B471+1</f>
        <v>464</v>
      </c>
      <c r="C472" s="102">
        <v>3.3</v>
      </c>
      <c r="D472" s="92" t="str">
        <f>+A472</f>
        <v>INR - INTERNATIONAL NORMALISED RATIO</v>
      </c>
      <c r="E472" s="130"/>
      <c r="T472" s="130"/>
      <c r="U472" s="111"/>
      <c r="V472" s="107"/>
    </row>
    <row r="473" spans="1:22">
      <c r="A473" s="130" t="s">
        <v>869</v>
      </c>
      <c r="B473" s="59">
        <f>+B472+1</f>
        <v>465</v>
      </c>
      <c r="C473" s="102">
        <v>10.9</v>
      </c>
      <c r="D473" s="92" t="str">
        <f>+A473</f>
        <v>D-DIMER ASSAY</v>
      </c>
      <c r="E473" s="130"/>
      <c r="T473" s="130"/>
      <c r="U473" s="111"/>
      <c r="V473" s="107"/>
    </row>
    <row r="474" spans="1:22">
      <c r="A474" s="130" t="s">
        <v>870</v>
      </c>
      <c r="B474" s="59">
        <f>+B473+1</f>
        <v>466</v>
      </c>
      <c r="C474" s="102">
        <v>11.5</v>
      </c>
      <c r="D474" s="92" t="str">
        <f>+A474</f>
        <v>HAEMOGLOBIN ELECTROPHORESIS (HPLC)</v>
      </c>
      <c r="E474" s="130"/>
      <c r="T474" s="130" t="s">
        <v>871</v>
      </c>
      <c r="U474" s="111" t="s">
        <v>862</v>
      </c>
      <c r="V474" s="107">
        <v>18.8</v>
      </c>
    </row>
    <row r="475" spans="1:22">
      <c r="A475" s="130" t="s">
        <v>872</v>
      </c>
      <c r="B475" s="59">
        <f>+B474+1</f>
        <v>467</v>
      </c>
      <c r="C475" s="102">
        <v>9.5</v>
      </c>
      <c r="D475" s="92" t="str">
        <f>+A475</f>
        <v>ABSOLUTE RETICULOCYTES</v>
      </c>
      <c r="E475" s="130"/>
      <c r="T475" s="130" t="s">
        <v>873</v>
      </c>
      <c r="U475" s="111" t="s">
        <v>874</v>
      </c>
      <c r="V475" s="107">
        <v>33.6</v>
      </c>
    </row>
    <row r="476" spans="1:22">
      <c r="A476" s="130" t="s">
        <v>861</v>
      </c>
      <c r="B476" s="59">
        <f>+B475+1</f>
        <v>468</v>
      </c>
      <c r="C476" s="102">
        <v>18.8</v>
      </c>
      <c r="D476" s="92" t="str">
        <f>+A476</f>
        <v>ACID ELUTION (EOSIN)</v>
      </c>
      <c r="E476" s="130"/>
      <c r="T476" s="130" t="s">
        <v>875</v>
      </c>
      <c r="U476" s="111" t="s">
        <v>876</v>
      </c>
      <c r="V476" s="107">
        <v>15.6</v>
      </c>
    </row>
    <row r="477" spans="1:22">
      <c r="A477" s="130" t="s">
        <v>871</v>
      </c>
      <c r="B477" s="59">
        <f>+B476+1</f>
        <v>469</v>
      </c>
      <c r="C477" s="102">
        <v>18.8</v>
      </c>
      <c r="D477" s="92" t="str">
        <f>+A477</f>
        <v>ACID ELUTION (GEIMSA)</v>
      </c>
      <c r="E477" s="130"/>
      <c r="T477" s="130" t="s">
        <v>877</v>
      </c>
      <c r="U477" s="111" t="s">
        <v>878</v>
      </c>
      <c r="V477" s="107">
        <v>15.6</v>
      </c>
    </row>
    <row r="478" spans="1:22">
      <c r="A478" s="130" t="s">
        <v>873</v>
      </c>
      <c r="B478" s="59">
        <f>+B477+1</f>
        <v>470</v>
      </c>
      <c r="C478" s="102">
        <v>33.6</v>
      </c>
      <c r="D478" s="92" t="str">
        <f>+A478</f>
        <v>AGAR GEL ELECTROPHORESIS</v>
      </c>
      <c r="E478" s="130"/>
      <c r="T478" s="130" t="s">
        <v>879</v>
      </c>
      <c r="U478" s="111" t="s">
        <v>880</v>
      </c>
      <c r="V478" s="107">
        <v>20</v>
      </c>
    </row>
    <row r="479" spans="1:22">
      <c r="A479" s="130" t="s">
        <v>881</v>
      </c>
      <c r="B479" s="59">
        <f>+B478+1</f>
        <v>471</v>
      </c>
      <c r="C479" s="102">
        <v>3.1</v>
      </c>
      <c r="D479" s="92" t="str">
        <f>+A479</f>
        <v>ASCITIC FLUID WHITW COUNT</v>
      </c>
      <c r="E479" s="130"/>
      <c r="T479" s="130" t="s">
        <v>882</v>
      </c>
      <c r="U479" s="111" t="s">
        <v>883</v>
      </c>
      <c r="V479" s="107">
        <v>5.4</v>
      </c>
    </row>
    <row r="480" spans="1:22">
      <c r="A480" s="130" t="s">
        <v>884</v>
      </c>
      <c r="B480" s="59">
        <f>+B479+1</f>
        <v>472</v>
      </c>
      <c r="C480" s="102">
        <v>62.8</v>
      </c>
      <c r="D480" s="92" t="str">
        <f>+A480</f>
        <v>AUTOHAEMOLOGYSIS</v>
      </c>
      <c r="E480" s="130"/>
      <c r="T480" s="130" t="s">
        <v>885</v>
      </c>
      <c r="U480" s="108" t="s">
        <v>886</v>
      </c>
      <c r="V480" s="107">
        <v>9</v>
      </c>
    </row>
    <row r="481" spans="1:22">
      <c r="A481" s="130" t="s">
        <v>887</v>
      </c>
      <c r="B481" s="59">
        <f>+B480+1</f>
        <v>473</v>
      </c>
      <c r="C481" s="102">
        <v>62.8</v>
      </c>
      <c r="D481" s="92" t="str">
        <f>+A481</f>
        <v>AUTOHAEMOLOGYSIS (GLUCOSE)</v>
      </c>
      <c r="E481" s="130"/>
      <c r="T481" s="130" t="s">
        <v>863</v>
      </c>
      <c r="U481" s="108" t="s">
        <v>863</v>
      </c>
      <c r="V481" s="107">
        <v>3.9</v>
      </c>
    </row>
    <row r="482" spans="1:22">
      <c r="A482" s="130" t="s">
        <v>875</v>
      </c>
      <c r="B482" s="59">
        <f>+B481+1</f>
        <v>474</v>
      </c>
      <c r="C482" s="102">
        <v>15.6</v>
      </c>
      <c r="D482" s="92" t="str">
        <f>+A482</f>
        <v>BONE MARROW PROCESSING</v>
      </c>
      <c r="E482" s="130"/>
      <c r="T482" s="130" t="s">
        <v>860</v>
      </c>
      <c r="U482" s="108" t="s">
        <v>888</v>
      </c>
      <c r="V482" s="107">
        <v>8.7</v>
      </c>
    </row>
    <row r="483" spans="1:22">
      <c r="A483" s="130" t="s">
        <v>877</v>
      </c>
      <c r="B483" s="59">
        <f>+B482+1</f>
        <v>475</v>
      </c>
      <c r="C483" s="102">
        <v>15.6</v>
      </c>
      <c r="D483" s="92" t="str">
        <f>+A483</f>
        <v>BONE MARROW TREPHINE PROCESSING</v>
      </c>
      <c r="E483" s="130"/>
      <c r="T483" s="130" t="s">
        <v>884</v>
      </c>
      <c r="U483" s="111" t="s">
        <v>889</v>
      </c>
      <c r="V483" s="107">
        <v>62.8</v>
      </c>
    </row>
    <row r="484" spans="1:22">
      <c r="A484" s="130" t="s">
        <v>890</v>
      </c>
      <c r="B484" s="59">
        <f>+B483+1</f>
        <v>476</v>
      </c>
      <c r="C484" s="102">
        <v>0</v>
      </c>
      <c r="D484" s="92" t="str">
        <f>+A484</f>
        <v>CHEMILUMINESCENCE TEST (NBS)</v>
      </c>
      <c r="E484" s="130"/>
      <c r="T484" s="130" t="s">
        <v>887</v>
      </c>
      <c r="U484" s="111" t="s">
        <v>891</v>
      </c>
      <c r="V484" s="107">
        <v>62.8</v>
      </c>
    </row>
    <row r="485" spans="1:22" ht="13">
      <c r="A485" s="130" t="s">
        <v>892</v>
      </c>
      <c r="B485" s="59">
        <f>+B484+1</f>
        <v>477</v>
      </c>
      <c r="C485" s="102">
        <v>34.3</v>
      </c>
      <c r="D485" s="92" t="str">
        <f>+A485</f>
        <v>CITRATE KAOLIN TEG</v>
      </c>
      <c r="E485" s="128"/>
      <c r="T485" s="130" t="s">
        <v>859</v>
      </c>
      <c r="U485" s="108" t="s">
        <v>893</v>
      </c>
      <c r="V485" s="107">
        <v>3.1</v>
      </c>
    </row>
    <row r="486" spans="1:22">
      <c r="A486" s="130" t="s">
        <v>882</v>
      </c>
      <c r="B486" s="59">
        <f>+B485+1</f>
        <v>478</v>
      </c>
      <c r="C486" s="102">
        <v>5.4</v>
      </c>
      <c r="D486" s="92" t="str">
        <f>+A486</f>
        <v>CYTOSPIN</v>
      </c>
      <c r="E486" s="130"/>
      <c r="T486" s="130" t="s">
        <v>894</v>
      </c>
      <c r="U486" s="108" t="s">
        <v>895</v>
      </c>
      <c r="V486" s="107">
        <v>3.1</v>
      </c>
    </row>
    <row r="487" spans="1:22">
      <c r="A487" s="130" t="s">
        <v>896</v>
      </c>
      <c r="B487" s="59">
        <f>+B486+1</f>
        <v>479</v>
      </c>
      <c r="C487" s="102">
        <v>35.8</v>
      </c>
      <c r="D487" s="92" t="str">
        <f>+A487</f>
        <v>D EPITOPES</v>
      </c>
      <c r="E487" s="130"/>
      <c r="T487" s="130" t="s">
        <v>881</v>
      </c>
      <c r="U487" s="108" t="s">
        <v>897</v>
      </c>
      <c r="V487" s="107">
        <v>3.1</v>
      </c>
    </row>
    <row r="488" spans="1:22">
      <c r="A488" s="130" t="s">
        <v>885</v>
      </c>
      <c r="B488" s="59">
        <f>+B487+1</f>
        <v>480</v>
      </c>
      <c r="C488" s="102">
        <v>9</v>
      </c>
      <c r="D488" s="92" t="str">
        <f>+A488</f>
        <v>DIFFERENTIAL COUNT (MANUAL)</v>
      </c>
      <c r="E488" s="130"/>
      <c r="T488" s="130" t="s">
        <v>892</v>
      </c>
      <c r="U488" s="108" t="s">
        <v>898</v>
      </c>
      <c r="V488" s="107">
        <v>34.3</v>
      </c>
    </row>
    <row r="489" spans="1:22">
      <c r="A489" s="130" t="s">
        <v>879</v>
      </c>
      <c r="B489" s="59">
        <f>+B488+1</f>
        <v>481</v>
      </c>
      <c r="C489" s="102">
        <v>20</v>
      </c>
      <c r="D489" s="92" t="str">
        <f>+A489</f>
        <v>DOUBLE ESTERASE</v>
      </c>
      <c r="E489" s="130"/>
      <c r="T489" s="130" t="s">
        <v>899</v>
      </c>
      <c r="U489" s="111" t="s">
        <v>880</v>
      </c>
      <c r="V489" s="107">
        <v>20</v>
      </c>
    </row>
    <row r="490" spans="1:22">
      <c r="A490" s="130" t="s">
        <v>894</v>
      </c>
      <c r="B490" s="59">
        <f>+B489+1</f>
        <v>482</v>
      </c>
      <c r="C490" s="102">
        <v>3.1</v>
      </c>
      <c r="D490" s="92" t="str">
        <f>+A490</f>
        <v>FBC (RSH)</v>
      </c>
      <c r="E490" s="130"/>
      <c r="T490" s="130" t="s">
        <v>896</v>
      </c>
      <c r="U490" s="108" t="s">
        <v>900</v>
      </c>
      <c r="V490" s="107">
        <v>35.8</v>
      </c>
    </row>
    <row r="491" spans="1:22">
      <c r="A491" s="130" t="s">
        <v>901</v>
      </c>
      <c r="B491" s="59">
        <f>+B490+1</f>
        <v>483</v>
      </c>
      <c r="C491" s="102">
        <v>38.1</v>
      </c>
      <c r="D491" s="92" t="str">
        <f>+A491</f>
        <v>G6PD ASSAY</v>
      </c>
      <c r="E491" s="130"/>
      <c r="T491" s="130" t="s">
        <v>901</v>
      </c>
      <c r="U491" s="111" t="s">
        <v>902</v>
      </c>
      <c r="V491" s="107">
        <v>38.1</v>
      </c>
    </row>
    <row r="492" spans="1:22">
      <c r="A492" s="130" t="s">
        <v>903</v>
      </c>
      <c r="B492" s="59">
        <f>+B491+1</f>
        <v>484</v>
      </c>
      <c r="C492" s="102">
        <v>32.2</v>
      </c>
      <c r="D492" s="92" t="str">
        <f>+A492</f>
        <v>G6PD SCREEN</v>
      </c>
      <c r="E492" s="130"/>
      <c r="T492" s="130" t="s">
        <v>904</v>
      </c>
      <c r="U492" s="111" t="s">
        <v>905</v>
      </c>
      <c r="V492" s="107">
        <v>45.1</v>
      </c>
    </row>
    <row r="493" spans="1:22">
      <c r="A493" s="130" t="s">
        <v>906</v>
      </c>
      <c r="B493" s="59">
        <f>+B492+1</f>
        <v>485</v>
      </c>
      <c r="C493" s="102">
        <v>6</v>
      </c>
      <c r="D493" s="92" t="str">
        <f>+A493</f>
        <v>GENOTYPE</v>
      </c>
      <c r="E493" s="130"/>
      <c r="T493" s="130" t="s">
        <v>906</v>
      </c>
      <c r="U493" s="108" t="s">
        <v>907</v>
      </c>
      <c r="V493" s="107">
        <v>6</v>
      </c>
    </row>
    <row r="494" spans="1:22">
      <c r="A494" s="130" t="s">
        <v>904</v>
      </c>
      <c r="B494" s="59">
        <f>+B493+1</f>
        <v>486</v>
      </c>
      <c r="C494" s="102">
        <v>45.1</v>
      </c>
      <c r="D494" s="92" t="str">
        <f>+A494</f>
        <v>GLOBULIN CHAIN ELECTROPHORESIS</v>
      </c>
      <c r="E494" s="130"/>
      <c r="T494" s="130" t="s">
        <v>908</v>
      </c>
      <c r="U494" s="111" t="s">
        <v>909</v>
      </c>
      <c r="V494" s="107">
        <v>75.9</v>
      </c>
    </row>
    <row r="495" spans="1:22">
      <c r="A495" s="130" t="s">
        <v>908</v>
      </c>
      <c r="B495" s="59">
        <f>+B494+1</f>
        <v>487</v>
      </c>
      <c r="C495" s="102">
        <v>75.9</v>
      </c>
      <c r="D495" s="92" t="str">
        <f>+A495</f>
        <v>GLUTATHIONE ASSAY</v>
      </c>
      <c r="E495" s="130"/>
      <c r="T495" s="130" t="s">
        <v>903</v>
      </c>
      <c r="U495" s="108" t="s">
        <v>910</v>
      </c>
      <c r="V495" s="107">
        <v>32.2</v>
      </c>
    </row>
    <row r="496" spans="1:22">
      <c r="A496" s="130" t="s">
        <v>911</v>
      </c>
      <c r="B496" s="59">
        <f>+B495+1</f>
        <v>488</v>
      </c>
      <c r="C496" s="102">
        <v>14.5</v>
      </c>
      <c r="D496" s="92" t="str">
        <f>+A496</f>
        <v>HAEMOGLOBIN A2 ASSAY</v>
      </c>
      <c r="E496" s="130"/>
      <c r="T496" s="130" t="s">
        <v>912</v>
      </c>
      <c r="U496" s="111" t="s">
        <v>913</v>
      </c>
      <c r="V496" s="107">
        <v>20.4</v>
      </c>
    </row>
    <row r="497" spans="1:22">
      <c r="A497" s="130" t="s">
        <v>914</v>
      </c>
      <c r="B497" s="59">
        <f>+B496+1</f>
        <v>489</v>
      </c>
      <c r="C497" s="102">
        <v>32.2</v>
      </c>
      <c r="D497" s="92" t="str">
        <f>+A497</f>
        <v>HAEMOGLOBIN C ASSAY</v>
      </c>
      <c r="E497" s="130"/>
      <c r="T497" s="130" t="s">
        <v>911</v>
      </c>
      <c r="U497" s="111" t="s">
        <v>915</v>
      </c>
      <c r="V497" s="107">
        <v>14.5</v>
      </c>
    </row>
    <row r="498" spans="1:22">
      <c r="A498" s="130" t="s">
        <v>916</v>
      </c>
      <c r="B498" s="59">
        <f>+B497+1</f>
        <v>490</v>
      </c>
      <c r="C498" s="102">
        <v>32.2</v>
      </c>
      <c r="D498" s="92" t="str">
        <f>+A498</f>
        <v>HAEMOGLOBIN D ASSAY</v>
      </c>
      <c r="E498" s="130"/>
      <c r="T498" s="130" t="s">
        <v>914</v>
      </c>
      <c r="U498" s="108" t="s">
        <v>917</v>
      </c>
      <c r="V498" s="107">
        <v>32.2</v>
      </c>
    </row>
    <row r="499" spans="1:22">
      <c r="A499" s="130" t="s">
        <v>918</v>
      </c>
      <c r="B499" s="59">
        <f>+B498+1</f>
        <v>491</v>
      </c>
      <c r="C499" s="102">
        <v>32.2</v>
      </c>
      <c r="D499" s="92" t="str">
        <f>+A499</f>
        <v>HAEMOGLOBIN E ASSAY</v>
      </c>
      <c r="E499" s="130"/>
      <c r="T499" s="130" t="s">
        <v>916</v>
      </c>
      <c r="U499" s="111" t="s">
        <v>919</v>
      </c>
      <c r="V499" s="107">
        <v>32.2</v>
      </c>
    </row>
    <row r="500" spans="1:22">
      <c r="A500" s="130" t="s">
        <v>920</v>
      </c>
      <c r="B500" s="59">
        <f>+B499+1</f>
        <v>492</v>
      </c>
      <c r="C500" s="102">
        <v>20</v>
      </c>
      <c r="D500" s="92" t="str">
        <f>+A500</f>
        <v>HAEMOGLOBIN F ASSAY</v>
      </c>
      <c r="E500" s="130"/>
      <c r="T500" s="130" t="s">
        <v>918</v>
      </c>
      <c r="U500" s="111" t="s">
        <v>921</v>
      </c>
      <c r="V500" s="107">
        <v>32.2</v>
      </c>
    </row>
    <row r="501" spans="1:22">
      <c r="A501" s="130" t="s">
        <v>922</v>
      </c>
      <c r="B501" s="59">
        <f>+B500+1</f>
        <v>493</v>
      </c>
      <c r="C501" s="102">
        <v>7.7</v>
      </c>
      <c r="D501" s="92" t="str">
        <f>+A501</f>
        <v>HAEMOGLOBIN H BODIES</v>
      </c>
      <c r="E501" s="130"/>
      <c r="T501" s="130" t="s">
        <v>920</v>
      </c>
      <c r="U501" s="111" t="s">
        <v>923</v>
      </c>
      <c r="V501" s="107">
        <v>20</v>
      </c>
    </row>
    <row r="502" spans="1:22">
      <c r="A502" s="130" t="s">
        <v>924</v>
      </c>
      <c r="B502" s="59">
        <f>+B501+1</f>
        <v>494</v>
      </c>
      <c r="C502" s="102">
        <v>16</v>
      </c>
      <c r="D502" s="92" t="str">
        <f>+A502</f>
        <v>HAEMOGLOBIN S ASSAY</v>
      </c>
      <c r="E502" s="130"/>
      <c r="T502" s="130" t="s">
        <v>922</v>
      </c>
      <c r="U502" s="111" t="s">
        <v>925</v>
      </c>
      <c r="V502" s="107">
        <v>7.7</v>
      </c>
    </row>
    <row r="503" spans="1:22">
      <c r="A503" s="130" t="s">
        <v>912</v>
      </c>
      <c r="B503" s="59">
        <f>+B502+1</f>
        <v>495</v>
      </c>
      <c r="C503" s="102">
        <v>20.4</v>
      </c>
      <c r="D503" s="92" t="str">
        <f>+A503</f>
        <v>HAMM'S TEST</v>
      </c>
      <c r="E503" s="130"/>
      <c r="T503" s="130" t="s">
        <v>924</v>
      </c>
      <c r="U503" s="111" t="s">
        <v>926</v>
      </c>
      <c r="V503" s="107">
        <v>16</v>
      </c>
    </row>
    <row r="504" spans="1:22">
      <c r="A504" s="130" t="s">
        <v>927</v>
      </c>
      <c r="B504" s="59">
        <f>+B503+1</f>
        <v>496</v>
      </c>
      <c r="C504" s="102">
        <v>7.7</v>
      </c>
      <c r="D504" s="92" t="str">
        <f>+A504</f>
        <v>HEINZ BODIES</v>
      </c>
      <c r="E504" s="130"/>
      <c r="T504" s="130" t="s">
        <v>928</v>
      </c>
      <c r="U504" s="108" t="s">
        <v>929</v>
      </c>
      <c r="V504" s="107">
        <v>11.5</v>
      </c>
    </row>
    <row r="505" spans="1:22">
      <c r="A505" s="130" t="s">
        <v>930</v>
      </c>
      <c r="B505" s="59">
        <f>+B504+1</f>
        <v>497</v>
      </c>
      <c r="C505" s="102">
        <v>14.5</v>
      </c>
      <c r="D505" s="92" t="str">
        <f>+A505</f>
        <v>MALARIAL KIT</v>
      </c>
      <c r="E505" s="130"/>
      <c r="T505" s="130" t="s">
        <v>927</v>
      </c>
      <c r="U505" s="111" t="s">
        <v>931</v>
      </c>
      <c r="V505" s="107">
        <v>7.7</v>
      </c>
    </row>
    <row r="506" spans="1:22">
      <c r="A506" s="130" t="s">
        <v>932</v>
      </c>
      <c r="B506" s="59">
        <f>+B505+1</f>
        <v>498</v>
      </c>
      <c r="C506" s="102">
        <v>35.4</v>
      </c>
      <c r="D506" s="92" t="str">
        <f>+A506</f>
        <v>OSMOTIC FRAGILITY (FRESH)</v>
      </c>
      <c r="E506" s="130"/>
      <c r="T506" s="130" t="s">
        <v>865</v>
      </c>
      <c r="U506" s="108" t="s">
        <v>933</v>
      </c>
      <c r="V506" s="107">
        <v>4.3</v>
      </c>
    </row>
    <row r="507" spans="1:22">
      <c r="A507" s="130" t="s">
        <v>934</v>
      </c>
      <c r="B507" s="59">
        <f>+B506+1</f>
        <v>499</v>
      </c>
      <c r="C507" s="102">
        <v>35.4</v>
      </c>
      <c r="D507" s="92" t="str">
        <f>+A507</f>
        <v>OSMOTIC FRAGILITY (INCUBATED)</v>
      </c>
      <c r="E507" s="130"/>
      <c r="T507" s="130" t="s">
        <v>864</v>
      </c>
      <c r="U507" s="108" t="s">
        <v>935</v>
      </c>
      <c r="V507" s="107">
        <v>22.1</v>
      </c>
    </row>
    <row r="508" spans="1:22">
      <c r="A508" s="130" t="s">
        <v>936</v>
      </c>
      <c r="B508" s="59">
        <f>+B507+1</f>
        <v>500</v>
      </c>
      <c r="C508" s="102">
        <v>3.1</v>
      </c>
      <c r="D508" s="92" t="str">
        <f>+A508</f>
        <v>PLEURAL ASPIRATE</v>
      </c>
      <c r="E508" s="130"/>
      <c r="T508" s="130" t="s">
        <v>930</v>
      </c>
      <c r="U508" s="111" t="s">
        <v>937</v>
      </c>
      <c r="V508" s="107">
        <v>14.5</v>
      </c>
    </row>
    <row r="509" spans="1:22">
      <c r="A509" s="130" t="s">
        <v>938</v>
      </c>
      <c r="B509" s="59">
        <f>+B508+1</f>
        <v>501</v>
      </c>
      <c r="C509" s="102">
        <v>75.9</v>
      </c>
      <c r="D509" s="92" t="str">
        <f>+A509</f>
        <v>PYRUVATE KINASE SCREEN</v>
      </c>
      <c r="E509" s="130"/>
      <c r="T509" s="130" t="s">
        <v>932</v>
      </c>
      <c r="U509" s="111" t="s">
        <v>939</v>
      </c>
      <c r="V509" s="107">
        <v>35.4</v>
      </c>
    </row>
    <row r="510" spans="1:22">
      <c r="A510" s="130" t="s">
        <v>940</v>
      </c>
      <c r="B510" s="59">
        <f>+B509+1</f>
        <v>502</v>
      </c>
      <c r="C510" s="102">
        <v>21.9</v>
      </c>
      <c r="D510" s="92" t="str">
        <f>+A510</f>
        <v>RED CELL PORPHYRINS</v>
      </c>
      <c r="E510" s="130"/>
      <c r="T510" s="130" t="s">
        <v>934</v>
      </c>
      <c r="U510" s="111" t="s">
        <v>941</v>
      </c>
      <c r="V510" s="107">
        <v>35.4</v>
      </c>
    </row>
    <row r="511" spans="1:22">
      <c r="A511" s="130" t="s">
        <v>942</v>
      </c>
      <c r="B511" s="59">
        <f>+B510+1</f>
        <v>503</v>
      </c>
      <c r="C511" s="102">
        <v>10.6</v>
      </c>
      <c r="D511" s="92" t="str">
        <f>+A511</f>
        <v>SHUMM'S TEST</v>
      </c>
      <c r="E511" s="130"/>
      <c r="T511" s="130" t="s">
        <v>936</v>
      </c>
      <c r="U511" s="108" t="s">
        <v>943</v>
      </c>
      <c r="V511" s="107">
        <v>3.1</v>
      </c>
    </row>
    <row r="512" spans="1:22">
      <c r="A512" s="130" t="s">
        <v>944</v>
      </c>
      <c r="B512" s="59">
        <f>+B511+1</f>
        <v>504</v>
      </c>
      <c r="C512" s="102">
        <v>8</v>
      </c>
      <c r="D512" s="92" t="str">
        <f>+A512</f>
        <v>SICKLE SCREEN (confirm sickledex)</v>
      </c>
      <c r="E512" s="130"/>
      <c r="T512" s="130" t="s">
        <v>938</v>
      </c>
      <c r="U512" s="111" t="s">
        <v>945</v>
      </c>
      <c r="V512" s="107">
        <v>75.9</v>
      </c>
    </row>
    <row r="513" spans="1:22">
      <c r="A513" s="130" t="s">
        <v>946</v>
      </c>
      <c r="B513" s="59">
        <f>+B512+1</f>
        <v>505</v>
      </c>
      <c r="C513" s="102">
        <v>26.3</v>
      </c>
      <c r="D513" s="92" t="str">
        <f>+A513</f>
        <v>SOLUBLE TRANSFERIN RECEPTOR</v>
      </c>
      <c r="E513" s="130"/>
      <c r="T513" s="130" t="s">
        <v>940</v>
      </c>
      <c r="U513" s="111" t="s">
        <v>947</v>
      </c>
      <c r="V513" s="107">
        <v>21.9</v>
      </c>
    </row>
    <row r="514" spans="1:22">
      <c r="A514" s="130" t="s">
        <v>899</v>
      </c>
      <c r="B514" s="59">
        <f>+B513+1</f>
        <v>506</v>
      </c>
      <c r="C514" s="102">
        <v>20</v>
      </c>
      <c r="D514" s="92" t="str">
        <f>+A514</f>
        <v>SUDAN BLACK STAIN</v>
      </c>
      <c r="E514" s="130"/>
      <c r="T514" s="130" t="s">
        <v>872</v>
      </c>
      <c r="U514" s="108" t="s">
        <v>948</v>
      </c>
      <c r="V514" s="107">
        <v>9.5</v>
      </c>
    </row>
    <row r="515" spans="1:22">
      <c r="A515" s="130" t="s">
        <v>928</v>
      </c>
      <c r="B515" s="59">
        <f>+B514+1</f>
        <v>507</v>
      </c>
      <c r="C515" s="102">
        <v>11.5</v>
      </c>
      <c r="D515" s="92" t="str">
        <f>+A515</f>
        <v>URINARY HAEMOSIDERIN /IRON STAIN</v>
      </c>
      <c r="E515" s="130"/>
      <c r="T515" s="130" t="s">
        <v>942</v>
      </c>
      <c r="U515" s="111" t="s">
        <v>949</v>
      </c>
      <c r="V515" s="107">
        <v>10.6</v>
      </c>
    </row>
    <row r="516" spans="1:22">
      <c r="A516" s="130" t="s">
        <v>950</v>
      </c>
      <c r="B516" s="59">
        <f>+B515+1</f>
        <v>508</v>
      </c>
      <c r="C516" s="102">
        <v>32.8</v>
      </c>
      <c r="D516" s="92" t="str">
        <f>+A516</f>
        <v>ANTITHROMBIN III ASSAY</v>
      </c>
      <c r="E516" s="130"/>
      <c r="T516" s="130" t="s">
        <v>944</v>
      </c>
      <c r="U516" s="108" t="s">
        <v>951</v>
      </c>
      <c r="V516" s="107">
        <v>8</v>
      </c>
    </row>
    <row r="517" spans="1:22">
      <c r="A517" s="130" t="s">
        <v>952</v>
      </c>
      <c r="B517" s="59">
        <f>+B516+1</f>
        <v>509</v>
      </c>
      <c r="C517" s="102">
        <v>4.7</v>
      </c>
      <c r="D517" s="92" t="str">
        <f>+A517</f>
        <v>APTR (50:50 CORRECTION)</v>
      </c>
      <c r="E517" s="130"/>
      <c r="T517" s="130" t="s">
        <v>946</v>
      </c>
      <c r="U517" s="108" t="s">
        <v>953</v>
      </c>
      <c r="V517" s="107">
        <v>26.3</v>
      </c>
    </row>
    <row r="518" spans="1:22">
      <c r="A518" s="130" t="s">
        <v>954</v>
      </c>
      <c r="B518" s="59">
        <f>+B517+1</f>
        <v>510</v>
      </c>
      <c r="C518" s="102">
        <v>30</v>
      </c>
      <c r="D518" s="92" t="str">
        <f>+A518</f>
        <v>BLEEDING TIME (IN VITRO)</v>
      </c>
      <c r="E518" s="131"/>
      <c r="T518" s="131" t="s">
        <v>955</v>
      </c>
      <c r="U518" s="108" t="s">
        <v>956</v>
      </c>
      <c r="V518" s="107">
        <v>35.4</v>
      </c>
    </row>
    <row r="519" spans="1:22">
      <c r="A519" s="130" t="s">
        <v>957</v>
      </c>
      <c r="B519" s="59">
        <f>+B518+1</f>
        <v>511</v>
      </c>
      <c r="C519" s="102">
        <v>49.6</v>
      </c>
      <c r="D519" s="92" t="str">
        <f>+A519</f>
        <v>BLEEDING TIME (IN VIVO)</v>
      </c>
      <c r="E519" s="130"/>
      <c r="T519" s="130" t="s">
        <v>867</v>
      </c>
      <c r="U519" s="108" t="s">
        <v>958</v>
      </c>
      <c r="V519" s="107">
        <v>3.3</v>
      </c>
    </row>
    <row r="520" spans="1:22">
      <c r="A520" s="130" t="s">
        <v>959</v>
      </c>
      <c r="B520" s="59">
        <f>+B519+1</f>
        <v>512</v>
      </c>
      <c r="C520" s="102">
        <v>41.3</v>
      </c>
      <c r="D520" s="92" t="str">
        <f>+A520</f>
        <v>FACTOR II ASSAY</v>
      </c>
      <c r="E520" s="130"/>
      <c r="T520" s="130" t="s">
        <v>950</v>
      </c>
      <c r="U520" s="111" t="s">
        <v>960</v>
      </c>
      <c r="V520" s="107">
        <v>32.8</v>
      </c>
    </row>
    <row r="521" spans="1:22">
      <c r="A521" s="130" t="s">
        <v>961</v>
      </c>
      <c r="B521" s="59">
        <f>+B520+1</f>
        <v>513</v>
      </c>
      <c r="C521" s="102">
        <v>37.9</v>
      </c>
      <c r="D521" s="92" t="str">
        <f>+A521</f>
        <v>FACTOR IX ASSAY</v>
      </c>
      <c r="E521" s="130"/>
      <c r="T521" s="130" t="s">
        <v>957</v>
      </c>
      <c r="U521" s="111" t="s">
        <v>962</v>
      </c>
      <c r="V521" s="107">
        <v>49.6</v>
      </c>
    </row>
    <row r="522" spans="1:22">
      <c r="A522" s="130" t="s">
        <v>963</v>
      </c>
      <c r="B522" s="59">
        <f>+B521+1</f>
        <v>514</v>
      </c>
      <c r="C522" s="102">
        <v>37.9</v>
      </c>
      <c r="D522" s="92" t="str">
        <f>+A522</f>
        <v>FACTOR IX INHIBITOR ASSAY (if this is inhib assay price is very wrong)</v>
      </c>
      <c r="E522" s="130"/>
      <c r="T522" s="130" t="s">
        <v>954</v>
      </c>
      <c r="U522" s="111" t="s">
        <v>964</v>
      </c>
      <c r="V522" s="107">
        <v>30</v>
      </c>
    </row>
    <row r="523" spans="1:22">
      <c r="A523" s="130" t="s">
        <v>965</v>
      </c>
      <c r="B523" s="59">
        <f>+B522+1</f>
        <v>515</v>
      </c>
      <c r="C523" s="102">
        <v>39.2</v>
      </c>
      <c r="D523" s="92" t="str">
        <f>+A523</f>
        <v>FACTOR V ASSAY</v>
      </c>
      <c r="E523" s="130"/>
      <c r="T523" s="130" t="s">
        <v>866</v>
      </c>
      <c r="U523" s="108" t="s">
        <v>966</v>
      </c>
      <c r="V523" s="107">
        <v>4.7</v>
      </c>
    </row>
    <row r="524" spans="1:22">
      <c r="A524" s="130" t="s">
        <v>967</v>
      </c>
      <c r="B524" s="59">
        <f>+B523+1</f>
        <v>516</v>
      </c>
      <c r="C524" s="102">
        <v>41.8</v>
      </c>
      <c r="D524" s="92" t="str">
        <f>+A524</f>
        <v>FACTOR VII ASSAY</v>
      </c>
      <c r="E524" s="130"/>
      <c r="T524" s="130" t="s">
        <v>869</v>
      </c>
      <c r="U524" s="108" t="s">
        <v>968</v>
      </c>
      <c r="V524" s="107">
        <v>10.9</v>
      </c>
    </row>
    <row r="525" spans="1:22">
      <c r="A525" s="130" t="s">
        <v>969</v>
      </c>
      <c r="B525" s="59">
        <f>+B524+1</f>
        <v>517</v>
      </c>
      <c r="C525" s="102">
        <v>38</v>
      </c>
      <c r="D525" s="92" t="str">
        <f>+A525</f>
        <v>FACTOR VIII ASSAY</v>
      </c>
      <c r="E525" s="130"/>
      <c r="T525" s="130" t="s">
        <v>970</v>
      </c>
      <c r="U525" s="111" t="s">
        <v>968</v>
      </c>
      <c r="V525" s="107">
        <v>10.9</v>
      </c>
    </row>
    <row r="526" spans="1:22">
      <c r="A526" s="130" t="s">
        <v>971</v>
      </c>
      <c r="B526" s="59">
        <f>+B525+1</f>
        <v>518</v>
      </c>
      <c r="C526" s="102">
        <v>38</v>
      </c>
      <c r="D526" s="92" t="str">
        <f>+A526</f>
        <v>FACTOR VIII INHIBITOR (if this is inhib assay -price is very wrong)</v>
      </c>
      <c r="E526" s="130"/>
      <c r="T526" s="130" t="s">
        <v>972</v>
      </c>
      <c r="U526" s="108" t="s">
        <v>973</v>
      </c>
      <c r="V526" s="107">
        <v>41.6</v>
      </c>
    </row>
    <row r="527" spans="1:22">
      <c r="A527" s="130" t="s">
        <v>972</v>
      </c>
      <c r="B527" s="59">
        <f>+B526+1</f>
        <v>519</v>
      </c>
      <c r="C527" s="102">
        <v>41.6</v>
      </c>
      <c r="D527" s="92" t="str">
        <f>+A527</f>
        <v>FACTOR X ASSAY</v>
      </c>
      <c r="E527" s="130"/>
      <c r="T527" s="130" t="s">
        <v>974</v>
      </c>
      <c r="U527" s="108" t="s">
        <v>975</v>
      </c>
      <c r="V527" s="107">
        <v>41.3</v>
      </c>
    </row>
    <row r="528" spans="1:22">
      <c r="A528" s="130" t="s">
        <v>974</v>
      </c>
      <c r="B528" s="59">
        <f>+B527+1</f>
        <v>520</v>
      </c>
      <c r="C528" s="102">
        <v>41.3</v>
      </c>
      <c r="D528" s="92" t="str">
        <f>+A528</f>
        <v>FACTOR XI ASSAY</v>
      </c>
      <c r="E528" s="130"/>
      <c r="T528" s="130" t="s">
        <v>976</v>
      </c>
      <c r="U528" s="108" t="s">
        <v>977</v>
      </c>
      <c r="V528" s="107">
        <v>41.7</v>
      </c>
    </row>
    <row r="529" spans="1:22">
      <c r="A529" s="130" t="s">
        <v>976</v>
      </c>
      <c r="B529" s="59">
        <f>+B528+1</f>
        <v>521</v>
      </c>
      <c r="C529" s="102">
        <v>41.7</v>
      </c>
      <c r="D529" s="92" t="str">
        <f>+A529</f>
        <v>FACTOR XII ASSAY</v>
      </c>
      <c r="E529" s="130"/>
      <c r="T529" s="130" t="s">
        <v>978</v>
      </c>
      <c r="U529" s="111" t="s">
        <v>979</v>
      </c>
      <c r="V529" s="107">
        <v>24.1</v>
      </c>
    </row>
    <row r="530" spans="1:22">
      <c r="A530" s="130" t="s">
        <v>978</v>
      </c>
      <c r="B530" s="59">
        <f>+B529+1</f>
        <v>522</v>
      </c>
      <c r="C530" s="102">
        <v>24.1</v>
      </c>
      <c r="D530" s="92" t="str">
        <f>+A530</f>
        <v>FACTOR XIII ASSAY</v>
      </c>
      <c r="E530" s="130"/>
      <c r="T530" s="130" t="s">
        <v>980</v>
      </c>
      <c r="U530" s="111" t="s">
        <v>981</v>
      </c>
      <c r="V530" s="107">
        <v>24.1</v>
      </c>
    </row>
    <row r="531" spans="1:22">
      <c r="A531" s="130" t="s">
        <v>980</v>
      </c>
      <c r="B531" s="59">
        <f>+B530+1</f>
        <v>523</v>
      </c>
      <c r="C531" s="102">
        <v>24.1</v>
      </c>
      <c r="D531" s="92" t="str">
        <f>+A531</f>
        <v>FACTOR XIII SCREEN</v>
      </c>
      <c r="E531" s="130"/>
      <c r="T531" s="130" t="s">
        <v>959</v>
      </c>
      <c r="U531" s="108" t="s">
        <v>982</v>
      </c>
      <c r="V531" s="107">
        <v>41.3</v>
      </c>
    </row>
    <row r="532" spans="1:22">
      <c r="A532" s="130" t="s">
        <v>970</v>
      </c>
      <c r="B532" s="59">
        <f>+B531+1</f>
        <v>524</v>
      </c>
      <c r="C532" s="102">
        <v>10.9</v>
      </c>
      <c r="D532" s="92" t="str">
        <f>+A532</f>
        <v>FIBRIN DEGRADATION PRODUCTS</v>
      </c>
      <c r="E532" s="130"/>
      <c r="T532" s="130" t="s">
        <v>965</v>
      </c>
      <c r="U532" s="108" t="s">
        <v>983</v>
      </c>
      <c r="V532" s="107">
        <v>39.2</v>
      </c>
    </row>
    <row r="533" spans="1:22">
      <c r="A533" s="130" t="s">
        <v>984</v>
      </c>
      <c r="B533" s="59">
        <f>+B532+1</f>
        <v>525</v>
      </c>
      <c r="C533" s="102">
        <v>30.1</v>
      </c>
      <c r="D533" s="92" t="str">
        <f>+A533</f>
        <v>FIBRINOGEN (ANTIGEN)</v>
      </c>
      <c r="E533" s="130"/>
      <c r="T533" s="130" t="s">
        <v>967</v>
      </c>
      <c r="U533" s="108" t="s">
        <v>985</v>
      </c>
      <c r="V533" s="107">
        <v>41.8</v>
      </c>
    </row>
    <row r="534" spans="1:22">
      <c r="A534" s="130" t="s">
        <v>986</v>
      </c>
      <c r="B534" s="59">
        <f>+B533+1</f>
        <v>526</v>
      </c>
      <c r="C534" s="102">
        <v>3.3</v>
      </c>
      <c r="D534" s="92" t="str">
        <f>+A534</f>
        <v>HEPARIN</v>
      </c>
      <c r="E534" s="130"/>
      <c r="T534" s="130" t="s">
        <v>969</v>
      </c>
      <c r="U534" s="108" t="s">
        <v>987</v>
      </c>
      <c r="V534" s="107">
        <v>38</v>
      </c>
    </row>
    <row r="535" spans="1:22">
      <c r="A535" s="131" t="s">
        <v>955</v>
      </c>
      <c r="B535" s="59">
        <f>+B534+1</f>
        <v>527</v>
      </c>
      <c r="C535" s="102">
        <v>35.4</v>
      </c>
      <c r="D535" s="92" t="str">
        <f>+A535</f>
        <v>HEPARIN ANTI-Xa ASSAY</v>
      </c>
      <c r="E535" s="130"/>
      <c r="T535" s="130" t="s">
        <v>971</v>
      </c>
      <c r="U535" s="108" t="s">
        <v>988</v>
      </c>
      <c r="V535" s="107">
        <v>38</v>
      </c>
    </row>
    <row r="536" spans="1:22">
      <c r="A536" s="130" t="s">
        <v>989</v>
      </c>
      <c r="B536" s="59">
        <f>+B535+1</f>
        <v>528</v>
      </c>
      <c r="C536" s="102">
        <v>36.4</v>
      </c>
      <c r="D536" s="92" t="str">
        <f>+A536</f>
        <v>INHIBITOR SCREEN</v>
      </c>
      <c r="E536" s="130"/>
      <c r="T536" s="130" t="s">
        <v>961</v>
      </c>
      <c r="U536" s="108" t="s">
        <v>990</v>
      </c>
      <c r="V536" s="107">
        <v>37.9</v>
      </c>
    </row>
    <row r="537" spans="1:22">
      <c r="A537" s="130" t="s">
        <v>991</v>
      </c>
      <c r="B537" s="59">
        <f>+B536+1</f>
        <v>529</v>
      </c>
      <c r="C537" s="102">
        <v>3.3</v>
      </c>
      <c r="D537" s="92" t="str">
        <f>+A537</f>
        <v>INR (50:50 CORRECTION)</v>
      </c>
      <c r="E537" s="130"/>
      <c r="T537" s="130" t="s">
        <v>963</v>
      </c>
      <c r="U537" s="108" t="s">
        <v>992</v>
      </c>
      <c r="V537" s="107">
        <v>37.9</v>
      </c>
    </row>
    <row r="538" spans="1:22">
      <c r="A538" s="130" t="s">
        <v>993</v>
      </c>
      <c r="B538" s="59">
        <f>+B537+1</f>
        <v>530</v>
      </c>
      <c r="C538" s="102">
        <v>46.8</v>
      </c>
      <c r="D538" s="92" t="str">
        <f>+A538</f>
        <v>LUPUS-LIKE ANTOCOAGULANT</v>
      </c>
      <c r="E538" s="130"/>
      <c r="T538" s="130" t="s">
        <v>984</v>
      </c>
      <c r="U538" s="111" t="s">
        <v>994</v>
      </c>
      <c r="V538" s="107">
        <v>30.1</v>
      </c>
    </row>
    <row r="539" spans="1:22">
      <c r="A539" s="130" t="s">
        <v>995</v>
      </c>
      <c r="B539" s="59">
        <f>+B538+1</f>
        <v>531</v>
      </c>
      <c r="C539" s="102">
        <v>34.3</v>
      </c>
      <c r="D539" s="92" t="str">
        <f>+A539</f>
        <v>PLASMINOGEN ASSAY</v>
      </c>
      <c r="E539" s="130"/>
      <c r="T539" s="130" t="s">
        <v>986</v>
      </c>
      <c r="U539" s="108" t="s">
        <v>996</v>
      </c>
      <c r="V539" s="107">
        <v>3.3</v>
      </c>
    </row>
    <row r="540" spans="1:22">
      <c r="A540" s="130" t="s">
        <v>997</v>
      </c>
      <c r="B540" s="59">
        <f>+B539+1</f>
        <v>532</v>
      </c>
      <c r="C540" s="102">
        <v>35.9</v>
      </c>
      <c r="D540" s="92" t="str">
        <f>+A540</f>
        <v>PLASMONOGEN ACTIVATOR INHIBITOR</v>
      </c>
      <c r="E540" s="130"/>
      <c r="T540" s="130" t="s">
        <v>989</v>
      </c>
      <c r="U540" s="111" t="s">
        <v>998</v>
      </c>
      <c r="V540" s="107">
        <v>36.4</v>
      </c>
    </row>
    <row r="541" spans="1:22">
      <c r="A541" s="130" t="s">
        <v>999</v>
      </c>
      <c r="B541" s="59">
        <f>+B540+1</f>
        <v>533</v>
      </c>
      <c r="C541" s="102">
        <v>60.1</v>
      </c>
      <c r="D541" s="92" t="str">
        <f>+A541</f>
        <v>PLATELET FUNCTION ANALYSIS (PFA100)</v>
      </c>
      <c r="E541" s="130"/>
      <c r="T541" s="130" t="s">
        <v>868</v>
      </c>
      <c r="U541" s="108" t="s">
        <v>1000</v>
      </c>
      <c r="V541" s="107">
        <v>3.3</v>
      </c>
    </row>
    <row r="542" spans="1:22">
      <c r="A542" s="130" t="s">
        <v>1001</v>
      </c>
      <c r="B542" s="59">
        <f>+B541+1</f>
        <v>534</v>
      </c>
      <c r="C542" s="102">
        <v>84.3</v>
      </c>
      <c r="D542" s="92" t="str">
        <f>+A542</f>
        <v>PLATLET AGGREGATION &amp; RISTOCETIN INDUCED PLATLET AGGREGATION</v>
      </c>
      <c r="E542" s="130"/>
      <c r="T542" s="130" t="s">
        <v>993</v>
      </c>
      <c r="U542" s="108" t="s">
        <v>1002</v>
      </c>
      <c r="V542" s="107">
        <v>46.8</v>
      </c>
    </row>
    <row r="543" spans="1:22">
      <c r="A543" s="130" t="s">
        <v>1003</v>
      </c>
      <c r="B543" s="59">
        <f>+B542+1</f>
        <v>535</v>
      </c>
      <c r="C543" s="102">
        <v>35.9</v>
      </c>
      <c r="D543" s="92" t="str">
        <f>+A543</f>
        <v>POST-OCCLUSION PLASMINOGEN ACTIVATOR ASSAY</v>
      </c>
      <c r="E543" s="130"/>
      <c r="T543" s="130" t="s">
        <v>1004</v>
      </c>
      <c r="U543" s="111" t="s">
        <v>1005</v>
      </c>
      <c r="V543" s="107">
        <v>2.9</v>
      </c>
    </row>
    <row r="544" spans="1:22">
      <c r="A544" s="130" t="s">
        <v>1006</v>
      </c>
      <c r="B544" s="59">
        <f>+B543+1</f>
        <v>536</v>
      </c>
      <c r="C544" s="102">
        <v>35.9</v>
      </c>
      <c r="D544" s="92" t="str">
        <f>+A544</f>
        <v>PRE-OCCLUSION PLASMINOGEN ACTIVATOR ASSAY</v>
      </c>
      <c r="E544" s="130"/>
      <c r="T544" s="130" t="s">
        <v>952</v>
      </c>
      <c r="U544" s="108" t="s">
        <v>1007</v>
      </c>
      <c r="V544" s="107">
        <v>4.7</v>
      </c>
    </row>
    <row r="545" spans="1:22">
      <c r="A545" s="130" t="s">
        <v>1008</v>
      </c>
      <c r="B545" s="59">
        <f>+B544+1</f>
        <v>537</v>
      </c>
      <c r="C545" s="102">
        <v>38</v>
      </c>
      <c r="D545" s="92" t="str">
        <f>+A545</f>
        <v>PROTEIN C ASSAY</v>
      </c>
      <c r="E545" s="130"/>
      <c r="T545" s="130" t="s">
        <v>991</v>
      </c>
      <c r="U545" s="111" t="s">
        <v>1009</v>
      </c>
      <c r="V545" s="107">
        <v>3.3</v>
      </c>
    </row>
    <row r="546" spans="1:22">
      <c r="A546" s="130" t="s">
        <v>1010</v>
      </c>
      <c r="B546" s="59">
        <f>+B545+1</f>
        <v>538</v>
      </c>
      <c r="C546" s="102">
        <v>39.7</v>
      </c>
      <c r="D546" s="92" t="str">
        <f>+A546</f>
        <v>PROTEIN S (FREE ANTIGEN)</v>
      </c>
      <c r="E546" s="132"/>
      <c r="T546" s="133" t="s">
        <v>1001</v>
      </c>
      <c r="U546" s="111" t="s">
        <v>1011</v>
      </c>
      <c r="V546" s="107">
        <v>84.3</v>
      </c>
    </row>
    <row r="547" spans="1:22">
      <c r="A547" s="130" t="s">
        <v>1012</v>
      </c>
      <c r="B547" s="59">
        <f>+B546+1</f>
        <v>539</v>
      </c>
      <c r="C547" s="102">
        <v>36.6</v>
      </c>
      <c r="D547" s="92" t="str">
        <f>+A547</f>
        <v>RISTIOCETIN CO-FACTOR ASSAY</v>
      </c>
      <c r="E547" s="132"/>
      <c r="T547" s="133" t="s">
        <v>999</v>
      </c>
      <c r="U547" s="111" t="s">
        <v>1013</v>
      </c>
      <c r="V547" s="107">
        <v>60.1</v>
      </c>
    </row>
    <row r="548" spans="1:22">
      <c r="A548" s="130" t="s">
        <v>1014</v>
      </c>
      <c r="B548" s="59">
        <f>+B547+1</f>
        <v>540</v>
      </c>
      <c r="C548" s="102">
        <v>8</v>
      </c>
      <c r="D548" s="92" t="str">
        <f>+A548</f>
        <v>RUSSEL VIPER VENOM ASSAY (WAS KCT)</v>
      </c>
      <c r="E548" s="134"/>
      <c r="T548" s="134" t="s">
        <v>1006</v>
      </c>
      <c r="U548" s="111" t="s">
        <v>1015</v>
      </c>
      <c r="V548" s="107">
        <v>35.9</v>
      </c>
    </row>
    <row r="549" spans="1:22">
      <c r="A549" s="130" t="s">
        <v>1016</v>
      </c>
      <c r="B549" s="59">
        <f>+B548+1</f>
        <v>541</v>
      </c>
      <c r="C549" s="102">
        <v>13.3</v>
      </c>
      <c r="D549" s="92" t="str">
        <f>+A549</f>
        <v>THROMBIN TIME</v>
      </c>
      <c r="E549" s="134"/>
      <c r="T549" s="134" t="s">
        <v>1003</v>
      </c>
      <c r="U549" s="111" t="s">
        <v>1015</v>
      </c>
      <c r="V549" s="107">
        <v>35.9</v>
      </c>
    </row>
    <row r="550" spans="1:22">
      <c r="A550" s="130" t="s">
        <v>1017</v>
      </c>
      <c r="B550" s="59">
        <f>+B549+1</f>
        <v>542</v>
      </c>
      <c r="C550" s="102">
        <v>36.6</v>
      </c>
      <c r="D550" s="92" t="str">
        <f>+A550</f>
        <v>VWF ACTIVITY</v>
      </c>
      <c r="E550" s="130"/>
      <c r="T550" s="130" t="s">
        <v>997</v>
      </c>
      <c r="U550" s="111" t="s">
        <v>1015</v>
      </c>
      <c r="V550" s="107">
        <v>35.9</v>
      </c>
    </row>
    <row r="551" spans="1:22">
      <c r="A551" s="130" t="s">
        <v>1018</v>
      </c>
      <c r="B551" s="59">
        <f>+B550+1</f>
        <v>543</v>
      </c>
      <c r="C551" s="102">
        <v>36.6</v>
      </c>
      <c r="D551" s="92" t="str">
        <f>+A551</f>
        <v>VWF ANTIGEN</v>
      </c>
      <c r="E551" s="130"/>
      <c r="T551" s="130" t="s">
        <v>1008</v>
      </c>
      <c r="U551" s="111" t="s">
        <v>1019</v>
      </c>
      <c r="V551" s="107">
        <v>38</v>
      </c>
    </row>
    <row r="552" spans="1:22">
      <c r="A552" s="130" t="s">
        <v>1004</v>
      </c>
      <c r="B552" s="59">
        <f>+B551+1</f>
        <v>544</v>
      </c>
      <c r="C552" s="102">
        <v>2.9</v>
      </c>
      <c r="D552" s="92" t="str">
        <f>+A552</f>
        <v>VWF MULTIMER BANDING (sent to Basingstoke)</v>
      </c>
      <c r="E552" s="130"/>
      <c r="T552" s="130" t="s">
        <v>995</v>
      </c>
      <c r="U552" s="111" t="s">
        <v>1020</v>
      </c>
      <c r="V552" s="107">
        <v>34.3</v>
      </c>
    </row>
    <row r="553" spans="1:22">
      <c r="A553" s="130" t="s">
        <v>1021</v>
      </c>
      <c r="B553" s="59">
        <f>+B552+1</f>
        <v>545</v>
      </c>
      <c r="C553" s="102">
        <v>3.3</v>
      </c>
      <c r="D553" s="92" t="str">
        <f>+A553</f>
        <v>WARFARIN</v>
      </c>
      <c r="E553" s="130"/>
      <c r="T553" s="130" t="s">
        <v>1010</v>
      </c>
      <c r="U553" s="111" t="s">
        <v>1022</v>
      </c>
      <c r="V553" s="107">
        <v>39.7</v>
      </c>
    </row>
    <row r="554" spans="1:22">
      <c r="A554" s="130" t="s">
        <v>1023</v>
      </c>
      <c r="B554" s="59">
        <f>+B553+1</f>
        <v>546</v>
      </c>
      <c r="C554" s="102">
        <v>4.7</v>
      </c>
      <c r="D554" s="92" t="str">
        <f>+A554</f>
        <v>WARFARIN + HEPARIN</v>
      </c>
      <c r="E554" s="130"/>
      <c r="T554" s="130" t="s">
        <v>1012</v>
      </c>
      <c r="U554" s="111" t="s">
        <v>1024</v>
      </c>
      <c r="V554" s="107">
        <v>36.6</v>
      </c>
    </row>
    <row r="555" spans="1:22">
      <c r="A555" s="130" t="s">
        <v>1025</v>
      </c>
      <c r="B555" s="59">
        <f>+B554+1</f>
        <v>547</v>
      </c>
      <c r="C555" s="102">
        <v>11</v>
      </c>
      <c r="D555" s="92" t="str">
        <f>+A555</f>
        <v>AUTOMATED GROUP &amp; SCREEN</v>
      </c>
      <c r="E555" s="130"/>
      <c r="T555" s="130" t="s">
        <v>1026</v>
      </c>
      <c r="U555" s="111" t="s">
        <v>1027</v>
      </c>
      <c r="V555" s="107">
        <v>12.8</v>
      </c>
    </row>
    <row r="556" spans="1:22">
      <c r="A556" s="130" t="s">
        <v>1028</v>
      </c>
      <c r="B556" s="59">
        <f>+B555+1</f>
        <v>548</v>
      </c>
      <c r="C556" s="102">
        <v>5.8</v>
      </c>
      <c r="D556" s="92" t="str">
        <f>+A556</f>
        <v>BLOOD GROUP (AUTOMATED)</v>
      </c>
      <c r="E556" s="130"/>
      <c r="T556" s="130" t="s">
        <v>1016</v>
      </c>
      <c r="U556" s="111" t="s">
        <v>1029</v>
      </c>
      <c r="V556" s="107">
        <v>13.3</v>
      </c>
    </row>
    <row r="557" spans="1:22">
      <c r="A557" s="130" t="s">
        <v>1030</v>
      </c>
      <c r="B557" s="59">
        <f>+B556+1</f>
        <v>549</v>
      </c>
      <c r="C557" s="102">
        <v>5.5</v>
      </c>
      <c r="D557" s="92" t="str">
        <f>+A557</f>
        <v>ANTIBODY SCREEN (AUTOMATED)</v>
      </c>
      <c r="E557" s="130"/>
      <c r="T557" s="130" t="s">
        <v>1017</v>
      </c>
      <c r="U557" s="111" t="s">
        <v>1031</v>
      </c>
      <c r="V557" s="107">
        <v>36.6</v>
      </c>
    </row>
    <row r="558" spans="1:22">
      <c r="A558" s="130" t="s">
        <v>1032</v>
      </c>
      <c r="B558" s="59">
        <f>+B557+1</f>
        <v>550</v>
      </c>
      <c r="C558" s="102">
        <v>26.3</v>
      </c>
      <c r="D558" s="92" t="str">
        <f>+A558</f>
        <v>ELECTRONIC CROSS MATCH</v>
      </c>
      <c r="E558" s="130"/>
      <c r="T558" s="130" t="s">
        <v>1021</v>
      </c>
      <c r="U558" s="108" t="s">
        <v>1033</v>
      </c>
      <c r="V558" s="107">
        <v>3.3</v>
      </c>
    </row>
    <row r="559" spans="1:22">
      <c r="A559" s="130" t="s">
        <v>1032</v>
      </c>
      <c r="B559" s="59">
        <f>+B558+1</f>
        <v>551</v>
      </c>
      <c r="C559" s="102">
        <v>26.3</v>
      </c>
      <c r="D559" s="92" t="str">
        <f>+A559</f>
        <v>ELECTRONIC CROSS MATCH</v>
      </c>
      <c r="E559" s="130"/>
      <c r="T559" s="130" t="s">
        <v>1018</v>
      </c>
      <c r="U559" s="111" t="s">
        <v>1034</v>
      </c>
      <c r="V559" s="107">
        <v>36.6</v>
      </c>
    </row>
    <row r="560" spans="1:22">
      <c r="A560" s="130" t="s">
        <v>1032</v>
      </c>
      <c r="B560" s="59">
        <f>+B559+1</f>
        <v>552</v>
      </c>
      <c r="C560" s="102">
        <v>26.3</v>
      </c>
      <c r="D560" s="92" t="str">
        <f>+A560</f>
        <v>ELECTRONIC CROSS MATCH</v>
      </c>
      <c r="E560" s="130"/>
      <c r="T560" s="130" t="s">
        <v>1023</v>
      </c>
      <c r="U560" s="108" t="s">
        <v>1035</v>
      </c>
      <c r="V560" s="107">
        <v>4.7</v>
      </c>
    </row>
    <row r="561" spans="1:22">
      <c r="A561" s="130" t="s">
        <v>1032</v>
      </c>
      <c r="B561" s="59">
        <f>+B560+1</f>
        <v>553</v>
      </c>
      <c r="C561" s="102">
        <v>26.3</v>
      </c>
      <c r="D561" s="92" t="str">
        <f>+A561</f>
        <v>ELECTRONIC CROSS MATCH</v>
      </c>
      <c r="E561" s="130"/>
      <c r="T561" s="130" t="s">
        <v>1036</v>
      </c>
      <c r="U561" s="135">
        <v>5050</v>
      </c>
      <c r="V561" s="107">
        <v>4.2</v>
      </c>
    </row>
    <row r="562" spans="1:22">
      <c r="A562" s="130" t="s">
        <v>1032</v>
      </c>
      <c r="B562" s="59">
        <f>+B561+1</f>
        <v>554</v>
      </c>
      <c r="C562" s="102">
        <v>26.3</v>
      </c>
      <c r="D562" s="92" t="str">
        <f>+A562</f>
        <v>ELECTRONIC CROSS MATCH</v>
      </c>
      <c r="E562" s="130"/>
      <c r="T562" s="130" t="s">
        <v>1037</v>
      </c>
      <c r="U562" s="108" t="s">
        <v>862</v>
      </c>
      <c r="V562" s="107">
        <v>44.3</v>
      </c>
    </row>
    <row r="563" spans="1:22">
      <c r="A563" s="130" t="s">
        <v>1032</v>
      </c>
      <c r="B563" s="59">
        <f>+B562+1</f>
        <v>555</v>
      </c>
      <c r="C563" s="102">
        <v>26.3</v>
      </c>
      <c r="D563" s="92" t="str">
        <f>+A563</f>
        <v>ELECTRONIC CROSS MATCH</v>
      </c>
      <c r="E563" s="130"/>
      <c r="T563" s="130" t="s">
        <v>1038</v>
      </c>
      <c r="U563" s="108" t="s">
        <v>1038</v>
      </c>
      <c r="V563" s="107">
        <v>35.1</v>
      </c>
    </row>
    <row r="564" spans="1:22">
      <c r="A564" s="130" t="s">
        <v>1036</v>
      </c>
      <c r="B564" s="59">
        <f>+B563+1</f>
        <v>556</v>
      </c>
      <c r="C564" s="102">
        <v>4.2</v>
      </c>
      <c r="D564" s="92" t="str">
        <f>+A564</f>
        <v>50:50 PLASMA NEUTRALISATION</v>
      </c>
      <c r="E564" s="130"/>
      <c r="T564" s="130" t="s">
        <v>1039</v>
      </c>
      <c r="U564" s="108" t="s">
        <v>1040</v>
      </c>
      <c r="V564" s="107">
        <v>7.9</v>
      </c>
    </row>
    <row r="565" spans="1:22">
      <c r="A565" s="130" t="s">
        <v>1037</v>
      </c>
      <c r="B565" s="59">
        <f>+B564+1</f>
        <v>557</v>
      </c>
      <c r="C565" s="102">
        <v>44.3</v>
      </c>
      <c r="D565" s="92" t="str">
        <f>+A565</f>
        <v>ACID ELUTION</v>
      </c>
      <c r="E565" s="130"/>
      <c r="T565" s="130" t="s">
        <v>1028</v>
      </c>
      <c r="U565" s="108" t="s">
        <v>1041</v>
      </c>
      <c r="V565" s="107">
        <v>5.8</v>
      </c>
    </row>
    <row r="566" spans="1:22">
      <c r="A566" s="130" t="s">
        <v>1038</v>
      </c>
      <c r="B566" s="59">
        <f>+B565+1</f>
        <v>558</v>
      </c>
      <c r="C566" s="102">
        <v>35.1</v>
      </c>
      <c r="D566" s="92" t="str">
        <f>+A566</f>
        <v>AET</v>
      </c>
      <c r="E566" s="130"/>
      <c r="T566" s="130" t="s">
        <v>1025</v>
      </c>
      <c r="U566" s="108" t="s">
        <v>1042</v>
      </c>
      <c r="V566" s="107">
        <v>11</v>
      </c>
    </row>
    <row r="567" spans="1:22">
      <c r="A567" s="130" t="s">
        <v>1039</v>
      </c>
      <c r="B567" s="59">
        <f>+B566+1</f>
        <v>559</v>
      </c>
      <c r="C567" s="102">
        <v>7.9</v>
      </c>
      <c r="D567" s="92" t="str">
        <f>+A567</f>
        <v>COLD AGGLUTININ SCREEN</v>
      </c>
      <c r="E567" s="131"/>
      <c r="T567" s="131" t="s">
        <v>870</v>
      </c>
      <c r="U567" s="108" t="s">
        <v>1043</v>
      </c>
      <c r="V567" s="107">
        <v>11.5</v>
      </c>
    </row>
    <row r="568" spans="1:22">
      <c r="A568" s="131" t="s">
        <v>1044</v>
      </c>
      <c r="B568" s="59">
        <f>+B567+1</f>
        <v>560</v>
      </c>
      <c r="C568" s="102">
        <v>7.7</v>
      </c>
      <c r="D568" s="92" t="str">
        <f>+A568</f>
        <v>T-ACTIVATED RED CELLS</v>
      </c>
      <c r="E568" s="131"/>
      <c r="T568" s="131" t="s">
        <v>1045</v>
      </c>
      <c r="U568" s="111" t="s">
        <v>1046</v>
      </c>
      <c r="V568" s="107">
        <v>9.2</v>
      </c>
    </row>
    <row r="569" spans="1:22">
      <c r="A569" s="131" t="s">
        <v>1045</v>
      </c>
      <c r="B569" s="59">
        <f>+B568+1</f>
        <v>561</v>
      </c>
      <c r="C569" s="102">
        <v>9.2</v>
      </c>
      <c r="D569" s="92" t="str">
        <f>+A569</f>
        <v>ANTIBODY REFERRAL</v>
      </c>
      <c r="E569" s="131"/>
      <c r="T569" s="131" t="s">
        <v>1030</v>
      </c>
      <c r="U569" s="108" t="s">
        <v>1047</v>
      </c>
      <c r="V569" s="107">
        <v>5.5</v>
      </c>
    </row>
    <row r="570" spans="1:22">
      <c r="A570" s="130" t="s">
        <v>1048</v>
      </c>
      <c r="B570" s="59">
        <f>+B569+1</f>
        <v>562</v>
      </c>
      <c r="C570" s="102">
        <v>44.3</v>
      </c>
      <c r="D570" s="92" t="str">
        <f>+A570</f>
        <v>BIRMINGHAM IAG PANEL</v>
      </c>
      <c r="E570" s="130"/>
      <c r="T570" s="130" t="s">
        <v>1048</v>
      </c>
      <c r="U570" s="108" t="s">
        <v>1049</v>
      </c>
      <c r="V570" s="107">
        <v>44.3</v>
      </c>
    </row>
    <row r="571" spans="1:22">
      <c r="A571" s="130" t="s">
        <v>1050</v>
      </c>
      <c r="B571" s="59">
        <f>+B570+1</f>
        <v>563</v>
      </c>
      <c r="C571" s="102">
        <v>44.3</v>
      </c>
      <c r="D571" s="92" t="str">
        <f>+A571</f>
        <v>BIRMINGHAM ENZYME PANEL</v>
      </c>
      <c r="E571" s="130"/>
      <c r="T571" s="130" t="s">
        <v>1050</v>
      </c>
      <c r="U571" s="108" t="s">
        <v>1051</v>
      </c>
      <c r="V571" s="107">
        <v>44.3</v>
      </c>
    </row>
    <row r="572" spans="1:22">
      <c r="A572" s="130" t="s">
        <v>1052</v>
      </c>
      <c r="B572" s="59">
        <f>+B571+1</f>
        <v>564</v>
      </c>
      <c r="C572" s="102">
        <v>44.3</v>
      </c>
      <c r="D572" s="92" t="str">
        <f>+A572</f>
        <v>CAMBRIDGE IAG PANEL</v>
      </c>
      <c r="E572" s="130"/>
      <c r="T572" s="130" t="s">
        <v>1052</v>
      </c>
      <c r="U572" s="108" t="s">
        <v>1053</v>
      </c>
      <c r="V572" s="107">
        <v>44.3</v>
      </c>
    </row>
    <row r="573" spans="1:22">
      <c r="A573" s="130" t="s">
        <v>1054</v>
      </c>
      <c r="B573" s="59">
        <f>+B572+1</f>
        <v>565</v>
      </c>
      <c r="C573" s="102">
        <v>44.3</v>
      </c>
      <c r="D573" s="92" t="str">
        <f>+A573</f>
        <v>CAMBRIDGE ENZYME PANEL</v>
      </c>
      <c r="E573" s="130"/>
      <c r="T573" s="130" t="s">
        <v>1054</v>
      </c>
      <c r="U573" s="108" t="s">
        <v>1055</v>
      </c>
      <c r="V573" s="107">
        <v>44.3</v>
      </c>
    </row>
    <row r="574" spans="1:22">
      <c r="A574" s="130" t="s">
        <v>1056</v>
      </c>
      <c r="B574" s="59">
        <f>+B573+1</f>
        <v>566</v>
      </c>
      <c r="C574" s="102">
        <v>32.5</v>
      </c>
      <c r="D574" s="92" t="str">
        <f>+A574</f>
        <v>CROSS MATCH</v>
      </c>
      <c r="E574" s="130"/>
      <c r="T574" s="130" t="s">
        <v>1056</v>
      </c>
      <c r="U574" s="108" t="s">
        <v>1057</v>
      </c>
      <c r="V574" s="107">
        <v>32.5</v>
      </c>
    </row>
    <row r="575" spans="1:22">
      <c r="A575" s="130" t="s">
        <v>1056</v>
      </c>
      <c r="B575" s="59">
        <f>+B574+1</f>
        <v>567</v>
      </c>
      <c r="C575" s="102">
        <v>64.7</v>
      </c>
      <c r="D575" s="92" t="str">
        <f>+A575</f>
        <v>CROSS MATCH</v>
      </c>
      <c r="E575" s="130"/>
      <c r="T575" s="130" t="s">
        <v>1056</v>
      </c>
      <c r="U575" s="108" t="s">
        <v>1058</v>
      </c>
      <c r="V575" s="107">
        <v>64.7</v>
      </c>
    </row>
    <row r="576" spans="1:22">
      <c r="A576" s="130" t="s">
        <v>1056</v>
      </c>
      <c r="B576" s="59">
        <f>+B575+1</f>
        <v>568</v>
      </c>
      <c r="C576" s="102">
        <v>97</v>
      </c>
      <c r="D576" s="92" t="str">
        <f>+A576</f>
        <v>CROSS MATCH</v>
      </c>
      <c r="E576" s="130"/>
      <c r="T576" s="130" t="s">
        <v>1056</v>
      </c>
      <c r="U576" s="108" t="s">
        <v>1059</v>
      </c>
      <c r="V576" s="107">
        <v>97</v>
      </c>
    </row>
    <row r="577" spans="1:22">
      <c r="A577" s="130" t="s">
        <v>1056</v>
      </c>
      <c r="B577" s="59">
        <f>+B576+1</f>
        <v>569</v>
      </c>
      <c r="C577" s="102">
        <v>129.3</v>
      </c>
      <c r="D577" s="92" t="str">
        <f>+A577</f>
        <v>CROSS MATCH</v>
      </c>
      <c r="E577" s="130"/>
      <c r="T577" s="130" t="s">
        <v>1056</v>
      </c>
      <c r="U577" s="108" t="s">
        <v>1060</v>
      </c>
      <c r="V577" s="107">
        <v>129.3</v>
      </c>
    </row>
    <row r="578" spans="1:22">
      <c r="A578" s="130" t="s">
        <v>1056</v>
      </c>
      <c r="B578" s="59">
        <f>+B577+1</f>
        <v>570</v>
      </c>
      <c r="C578" s="102">
        <v>161.6</v>
      </c>
      <c r="D578" s="92" t="str">
        <f>+A578</f>
        <v>CROSS MATCH</v>
      </c>
      <c r="E578" s="130"/>
      <c r="T578" s="130" t="s">
        <v>1056</v>
      </c>
      <c r="U578" s="108" t="s">
        <v>1061</v>
      </c>
      <c r="V578" s="107">
        <v>161.6</v>
      </c>
    </row>
    <row r="579" spans="1:22">
      <c r="A579" s="130" t="s">
        <v>1062</v>
      </c>
      <c r="B579" s="59">
        <f>+B578+1</f>
        <v>571</v>
      </c>
      <c r="C579" s="102">
        <v>5.5</v>
      </c>
      <c r="D579" s="92" t="str">
        <f>+A579</f>
        <v>COOMBES TEST - DIRECT</v>
      </c>
      <c r="E579" s="130"/>
      <c r="T579" s="130" t="s">
        <v>1062</v>
      </c>
      <c r="U579" s="108" t="s">
        <v>1063</v>
      </c>
      <c r="V579" s="107">
        <v>5.5</v>
      </c>
    </row>
    <row r="580" spans="1:22">
      <c r="A580" s="130" t="s">
        <v>1064</v>
      </c>
      <c r="B580" s="59">
        <f>+B579+1</f>
        <v>572</v>
      </c>
      <c r="C580" s="102">
        <v>44.3</v>
      </c>
      <c r="D580" s="92" t="str">
        <f>+A580</f>
        <v>DIAMED IAG PANEL</v>
      </c>
      <c r="E580" s="130"/>
      <c r="T580" s="130" t="s">
        <v>1064</v>
      </c>
      <c r="U580" s="108" t="s">
        <v>1065</v>
      </c>
      <c r="V580" s="107">
        <v>44.3</v>
      </c>
    </row>
    <row r="581" spans="1:22">
      <c r="A581" s="130" t="s">
        <v>1066</v>
      </c>
      <c r="B581" s="59">
        <f>+B580+1</f>
        <v>573</v>
      </c>
      <c r="C581" s="102">
        <v>44.3</v>
      </c>
      <c r="D581" s="92" t="str">
        <f>+A581</f>
        <v>DIAMED ENZYME PANEL</v>
      </c>
      <c r="E581" s="130"/>
      <c r="T581" s="130" t="s">
        <v>1066</v>
      </c>
      <c r="U581" s="108" t="s">
        <v>1067</v>
      </c>
      <c r="V581" s="107">
        <v>44.3</v>
      </c>
    </row>
    <row r="582" spans="1:22">
      <c r="A582" s="130" t="s">
        <v>1068</v>
      </c>
      <c r="B582" s="59">
        <f>+B581+1</f>
        <v>574</v>
      </c>
      <c r="C582" s="102">
        <v>7.7</v>
      </c>
      <c r="D582" s="92" t="str">
        <f>+A582</f>
        <v>DUFFY PHENOTYPE</v>
      </c>
      <c r="E582" s="130"/>
      <c r="T582" s="130" t="s">
        <v>1068</v>
      </c>
      <c r="U582" s="108" t="s">
        <v>1069</v>
      </c>
      <c r="V582" s="107">
        <v>7.7</v>
      </c>
    </row>
    <row r="583" spans="1:22">
      <c r="A583" s="130" t="s">
        <v>1070</v>
      </c>
      <c r="B583" s="59">
        <f>+B582+1</f>
        <v>575</v>
      </c>
      <c r="C583" s="102">
        <v>14.3</v>
      </c>
      <c r="D583" s="92" t="str">
        <f>+A583</f>
        <v>EMERGENCY O Rh NEG ISSUE</v>
      </c>
      <c r="E583" s="130"/>
      <c r="T583" s="130" t="s">
        <v>1070</v>
      </c>
      <c r="U583" s="108" t="s">
        <v>1071</v>
      </c>
      <c r="V583" s="107">
        <v>14.3</v>
      </c>
    </row>
    <row r="584" spans="1:22">
      <c r="A584" s="130" t="s">
        <v>1072</v>
      </c>
      <c r="B584" s="59">
        <f>+B583+1</f>
        <v>576</v>
      </c>
      <c r="C584" s="102">
        <v>44.3</v>
      </c>
      <c r="D584" s="92" t="str">
        <f>+A584</f>
        <v>HEPARIN INDUCED THROMBOCYTOPENIA</v>
      </c>
      <c r="E584" s="130"/>
      <c r="T584" s="130" t="s">
        <v>1032</v>
      </c>
      <c r="U584" s="108" t="s">
        <v>1073</v>
      </c>
      <c r="V584" s="107">
        <v>26.3</v>
      </c>
    </row>
    <row r="585" spans="1:22">
      <c r="A585" s="130" t="s">
        <v>1074</v>
      </c>
      <c r="B585" s="59">
        <f>+B584+1</f>
        <v>577</v>
      </c>
      <c r="C585" s="102">
        <v>9.2</v>
      </c>
      <c r="D585" s="92" t="str">
        <f>+A585</f>
        <v>HLA CYTOTOXIC ANTIBODY SCREEN (NBS)</v>
      </c>
      <c r="E585" s="130"/>
      <c r="T585" s="130" t="s">
        <v>1032</v>
      </c>
      <c r="U585" s="108" t="s">
        <v>1075</v>
      </c>
      <c r="V585" s="107">
        <v>26.3</v>
      </c>
    </row>
    <row r="586" spans="1:22">
      <c r="A586" s="130" t="s">
        <v>1076</v>
      </c>
      <c r="B586" s="59">
        <f>+B585+1</f>
        <v>578</v>
      </c>
      <c r="C586" s="102">
        <v>7.7</v>
      </c>
      <c r="D586" s="92" t="str">
        <f>+A586</f>
        <v>KPA TYPE</v>
      </c>
      <c r="E586" s="130"/>
      <c r="T586" s="130" t="s">
        <v>1032</v>
      </c>
      <c r="U586" s="108" t="s">
        <v>1077</v>
      </c>
      <c r="V586" s="107">
        <v>26.3</v>
      </c>
    </row>
    <row r="587" spans="1:22">
      <c r="A587" s="130" t="s">
        <v>1078</v>
      </c>
      <c r="B587" s="59">
        <f>+B586+1</f>
        <v>579</v>
      </c>
      <c r="C587" s="102">
        <v>7.7</v>
      </c>
      <c r="D587" s="92" t="str">
        <f>+A587</f>
        <v>KIDD PHENOTYPE</v>
      </c>
      <c r="E587" s="130"/>
      <c r="T587" s="130" t="s">
        <v>1032</v>
      </c>
      <c r="U587" s="108" t="s">
        <v>1079</v>
      </c>
      <c r="V587" s="107">
        <v>26.3</v>
      </c>
    </row>
    <row r="588" spans="1:22">
      <c r="A588" s="130" t="s">
        <v>1080</v>
      </c>
      <c r="B588" s="59">
        <f>+B587+1</f>
        <v>580</v>
      </c>
      <c r="C588" s="102">
        <v>25.2</v>
      </c>
      <c r="D588" s="92" t="str">
        <f>+A588</f>
        <v>KLEIHAUER TEST</v>
      </c>
      <c r="E588" s="130"/>
      <c r="T588" s="130" t="s">
        <v>1032</v>
      </c>
      <c r="U588" s="108" t="s">
        <v>1081</v>
      </c>
      <c r="V588" s="107">
        <v>26.3</v>
      </c>
    </row>
    <row r="589" spans="1:22">
      <c r="A589" s="130" t="s">
        <v>1082</v>
      </c>
      <c r="B589" s="59">
        <f>+B588+1</f>
        <v>581</v>
      </c>
      <c r="C589" s="102">
        <v>7.7</v>
      </c>
      <c r="D589" s="92" t="str">
        <f>+A589</f>
        <v>ANTI-KPA</v>
      </c>
      <c r="E589" s="130"/>
      <c r="T589" s="130" t="s">
        <v>1032</v>
      </c>
      <c r="U589" s="108" t="s">
        <v>1083</v>
      </c>
      <c r="V589" s="107">
        <v>26.3</v>
      </c>
    </row>
    <row r="590" spans="1:22">
      <c r="A590" s="130" t="s">
        <v>1084</v>
      </c>
      <c r="B590" s="59">
        <f>+B589+1</f>
        <v>582</v>
      </c>
      <c r="C590" s="102">
        <v>9.9</v>
      </c>
      <c r="D590" s="92" t="str">
        <f>+A590</f>
        <v>ANTIBODY SCREEN (MANUAL)</v>
      </c>
      <c r="E590" s="130"/>
      <c r="T590" s="130" t="s">
        <v>1085</v>
      </c>
      <c r="U590" s="108" t="s">
        <v>1086</v>
      </c>
      <c r="V590" s="107">
        <v>44.3</v>
      </c>
    </row>
    <row r="591" spans="1:22">
      <c r="A591" s="130" t="s">
        <v>1087</v>
      </c>
      <c r="B591" s="59">
        <f>+B590+1</f>
        <v>583</v>
      </c>
      <c r="C591" s="102">
        <v>12.9</v>
      </c>
      <c r="D591" s="92" t="str">
        <f>+A591</f>
        <v>COOMBES TEST - MONOSPECIFIC</v>
      </c>
      <c r="E591" s="130"/>
      <c r="T591" s="130" t="s">
        <v>1074</v>
      </c>
      <c r="U591" s="108" t="s">
        <v>1088</v>
      </c>
      <c r="V591" s="107">
        <v>9.2</v>
      </c>
    </row>
    <row r="592" spans="1:22">
      <c r="A592" s="130" t="s">
        <v>1089</v>
      </c>
      <c r="B592" s="59">
        <f>+B591+1</f>
        <v>584</v>
      </c>
      <c r="C592" s="102">
        <v>8</v>
      </c>
      <c r="D592" s="92" t="str">
        <f>+A592</f>
        <v>BLOOD GROUP (MANUAL)</v>
      </c>
      <c r="E592" s="130"/>
      <c r="T592" s="130" t="s">
        <v>1076</v>
      </c>
      <c r="U592" s="111" t="s">
        <v>1090</v>
      </c>
      <c r="V592" s="107">
        <v>7.7</v>
      </c>
    </row>
    <row r="593" spans="1:22">
      <c r="A593" s="130" t="s">
        <v>1091</v>
      </c>
      <c r="B593" s="59">
        <f>+B592+1</f>
        <v>585</v>
      </c>
      <c r="C593" s="102">
        <v>15.2</v>
      </c>
      <c r="D593" s="92" t="str">
        <f>+A593</f>
        <v>M TYPE / N TYPE</v>
      </c>
      <c r="E593" s="130"/>
      <c r="T593" s="130" t="s">
        <v>1078</v>
      </c>
      <c r="U593" s="108" t="s">
        <v>1092</v>
      </c>
      <c r="V593" s="107">
        <v>7.7</v>
      </c>
    </row>
    <row r="594" spans="1:22">
      <c r="A594" s="130" t="s">
        <v>1093</v>
      </c>
      <c r="B594" s="59">
        <f>+B593+1</f>
        <v>586</v>
      </c>
      <c r="C594" s="102">
        <v>44.3</v>
      </c>
      <c r="D594" s="92" t="str">
        <f>+A594</f>
        <v>NATIONAL BLOOD SERVICE ENZYME PANEL</v>
      </c>
      <c r="E594" s="130"/>
      <c r="T594" s="130" t="s">
        <v>1080</v>
      </c>
      <c r="U594" s="108" t="s">
        <v>1094</v>
      </c>
      <c r="V594" s="107">
        <v>25.2</v>
      </c>
    </row>
    <row r="595" spans="1:22">
      <c r="A595" s="130" t="s">
        <v>1095</v>
      </c>
      <c r="B595" s="59">
        <f>+B594+1</f>
        <v>587</v>
      </c>
      <c r="C595" s="102">
        <v>0</v>
      </c>
      <c r="D595" s="92" t="str">
        <f>+A595</f>
        <v>NEUTROPHIL SEROLOGY (NBS)</v>
      </c>
      <c r="E595" s="130"/>
      <c r="T595" s="130" t="s">
        <v>1082</v>
      </c>
      <c r="U595" s="111" t="s">
        <v>1096</v>
      </c>
      <c r="V595" s="107">
        <v>7.7</v>
      </c>
    </row>
    <row r="596" spans="1:22">
      <c r="A596" s="130" t="s">
        <v>1097</v>
      </c>
      <c r="B596" s="59">
        <f>+B595+1</f>
        <v>588</v>
      </c>
      <c r="C596" s="102">
        <v>44.3</v>
      </c>
      <c r="D596" s="92" t="str">
        <f>+A596</f>
        <v>NATIONAL BLOOD SERVICE IAG PANEL</v>
      </c>
      <c r="E596" s="130"/>
      <c r="T596" s="130" t="s">
        <v>1084</v>
      </c>
      <c r="U596" s="108" t="s">
        <v>1098</v>
      </c>
      <c r="V596" s="107">
        <v>9.9</v>
      </c>
    </row>
    <row r="597" spans="1:22">
      <c r="A597" s="130" t="s">
        <v>1099</v>
      </c>
      <c r="B597" s="59">
        <f>+B596+1</f>
        <v>589</v>
      </c>
      <c r="C597" s="102">
        <v>0</v>
      </c>
      <c r="D597" s="92" t="str">
        <f>+A597</f>
        <v>PLATELET SEROLOGY (NBS)</v>
      </c>
      <c r="E597" s="130"/>
      <c r="T597" s="130" t="s">
        <v>1087</v>
      </c>
      <c r="U597" s="108" t="s">
        <v>1100</v>
      </c>
      <c r="V597" s="107">
        <v>12.9</v>
      </c>
    </row>
    <row r="598" spans="1:22">
      <c r="A598" s="130" t="s">
        <v>1101</v>
      </c>
      <c r="B598" s="59">
        <f>+B597+1</f>
        <v>590</v>
      </c>
      <c r="C598" s="102">
        <v>0</v>
      </c>
      <c r="D598" s="92" t="str">
        <f>+A598</f>
        <v>ANTIBODY QUANTITATION (NBS)</v>
      </c>
      <c r="E598" s="130"/>
      <c r="T598" s="130" t="s">
        <v>1089</v>
      </c>
      <c r="U598" s="108" t="s">
        <v>1102</v>
      </c>
      <c r="V598" s="107">
        <v>8</v>
      </c>
    </row>
    <row r="599" spans="1:22">
      <c r="A599" s="130" t="s">
        <v>1103</v>
      </c>
      <c r="B599" s="59">
        <f>+B598+1</f>
        <v>591</v>
      </c>
      <c r="C599" s="102">
        <v>22.8</v>
      </c>
      <c r="D599" s="92" t="str">
        <f>+A599</f>
        <v>RHESUS PENOTYPE</v>
      </c>
      <c r="E599" s="130"/>
      <c r="T599" s="130" t="s">
        <v>1091</v>
      </c>
      <c r="U599" s="111" t="s">
        <v>1104</v>
      </c>
      <c r="V599" s="107">
        <v>15.2</v>
      </c>
    </row>
    <row r="600" spans="1:22">
      <c r="A600" s="130" t="s">
        <v>1105</v>
      </c>
      <c r="B600" s="59">
        <f>+B599+1</f>
        <v>592</v>
      </c>
      <c r="C600" s="102">
        <v>0</v>
      </c>
      <c r="D600" s="92" t="str">
        <f>+A600</f>
        <v>ROOM TEMP PANEL (BIRMINGHAM)</v>
      </c>
      <c r="E600" s="130"/>
      <c r="T600" s="130" t="s">
        <v>1093</v>
      </c>
      <c r="U600" s="108" t="s">
        <v>1106</v>
      </c>
      <c r="V600" s="107">
        <v>44.3</v>
      </c>
    </row>
    <row r="601" spans="1:22">
      <c r="A601" s="130" t="s">
        <v>1107</v>
      </c>
      <c r="B601" s="59">
        <f>+B600+1</f>
        <v>593</v>
      </c>
      <c r="C601" s="102">
        <v>0</v>
      </c>
      <c r="D601" s="92" t="str">
        <f>+A601</f>
        <v>ROOM TEMP PANEL (DIAMED)</v>
      </c>
      <c r="E601" s="130"/>
      <c r="T601" s="130" t="s">
        <v>1097</v>
      </c>
      <c r="U601" s="108" t="s">
        <v>1108</v>
      </c>
      <c r="V601" s="107">
        <v>44.3</v>
      </c>
    </row>
    <row r="602" spans="1:22">
      <c r="A602" s="130" t="s">
        <v>1109</v>
      </c>
      <c r="B602" s="59">
        <f>+B601+1</f>
        <v>594</v>
      </c>
      <c r="C602" s="102">
        <v>50.6</v>
      </c>
      <c r="D602" s="92" t="str">
        <f>+A602</f>
        <v>COLD AGGLUTININ TITRE</v>
      </c>
      <c r="E602" s="130"/>
      <c r="T602" s="130" t="s">
        <v>1103</v>
      </c>
      <c r="U602" s="108" t="s">
        <v>1110</v>
      </c>
      <c r="V602" s="107">
        <v>22.8</v>
      </c>
    </row>
    <row r="603" spans="1:22">
      <c r="A603" s="130" t="s">
        <v>1111</v>
      </c>
      <c r="B603" s="59">
        <f>+B602+1</f>
        <v>595</v>
      </c>
      <c r="C603" s="102">
        <v>15.2</v>
      </c>
      <c r="D603" s="92" t="str">
        <f>+A603</f>
        <v>SS TYPE</v>
      </c>
      <c r="E603" s="130"/>
      <c r="T603" s="130" t="s">
        <v>1109</v>
      </c>
      <c r="U603" s="111" t="s">
        <v>1112</v>
      </c>
      <c r="V603" s="107">
        <v>50.6</v>
      </c>
    </row>
    <row r="604" spans="1:22">
      <c r="A604" s="130" t="s">
        <v>1113</v>
      </c>
      <c r="B604" s="59">
        <f>+B603+1</f>
        <v>596</v>
      </c>
      <c r="C604" s="102">
        <v>0</v>
      </c>
      <c r="D604" s="92" t="str">
        <f>+A604</f>
        <v>ANTIBODY TITRE (NBS)</v>
      </c>
      <c r="E604" s="130"/>
      <c r="T604" s="130" t="s">
        <v>1111</v>
      </c>
      <c r="U604" s="108" t="s">
        <v>1114</v>
      </c>
      <c r="V604" s="107">
        <v>15.2</v>
      </c>
    </row>
    <row r="605" spans="1:22">
      <c r="A605" s="130" t="s">
        <v>1113</v>
      </c>
      <c r="B605" s="59">
        <f>+B604+1</f>
        <v>597</v>
      </c>
      <c r="C605" s="102">
        <v>0</v>
      </c>
      <c r="D605" s="92" t="str">
        <f>+A605</f>
        <v>ANTIBODY TITRE (NBS)</v>
      </c>
      <c r="E605" s="130"/>
      <c r="T605" s="130" t="s">
        <v>1115</v>
      </c>
      <c r="U605" s="111" t="s">
        <v>1116</v>
      </c>
      <c r="V605" s="107">
        <v>44.3</v>
      </c>
    </row>
    <row r="606" spans="1:22">
      <c r="A606" s="130" t="s">
        <v>1115</v>
      </c>
      <c r="B606" s="59">
        <f>+B605+1</f>
        <v>598</v>
      </c>
      <c r="C606" s="102">
        <v>44.3</v>
      </c>
      <c r="D606" s="92" t="str">
        <f>+A606</f>
        <v>IAT PANEL  POST ZZAP</v>
      </c>
      <c r="E606" s="130"/>
      <c r="T606" s="130" t="s">
        <v>1044</v>
      </c>
      <c r="U606" s="111" t="s">
        <v>1117</v>
      </c>
      <c r="V606" s="107">
        <v>7.7</v>
      </c>
    </row>
    <row r="607" spans="1:22" ht="13">
      <c r="A607" s="136" t="s">
        <v>1118</v>
      </c>
      <c r="B607" s="59">
        <f>+B606+1</f>
        <v>599</v>
      </c>
      <c r="C607" s="102">
        <f>+V607</f>
        <v>0</v>
      </c>
      <c r="D607" s="92" t="str">
        <f>+A607</f>
        <v>IMMUNOLOGY</v>
      </c>
      <c r="E607" s="104"/>
      <c r="T607" s="136" t="s">
        <v>1118</v>
      </c>
      <c r="U607" s="108"/>
      <c r="V607" s="107"/>
    </row>
    <row r="608" spans="1:22">
      <c r="A608" s="137" t="s">
        <v>1119</v>
      </c>
      <c r="B608" s="59">
        <f>+B607+1</f>
        <v>600</v>
      </c>
      <c r="C608" s="102">
        <v>8.9</v>
      </c>
      <c r="D608" s="92" t="str">
        <f>+A608</f>
        <v>ADRENAL ANTIBODIES</v>
      </c>
      <c r="E608" s="138"/>
      <c r="T608" s="138" t="s">
        <v>1120</v>
      </c>
      <c r="U608" s="108" t="s">
        <v>1121</v>
      </c>
      <c r="V608" s="107">
        <v>28.1</v>
      </c>
    </row>
    <row r="609" spans="1:22">
      <c r="A609" s="137" t="s">
        <v>1122</v>
      </c>
      <c r="B609" s="59">
        <f>+B608+1</f>
        <v>601</v>
      </c>
      <c r="C609" s="102">
        <v>5.6</v>
      </c>
      <c r="D609" s="92" t="str">
        <f>+A609</f>
        <v>ANA (see connective tissue ANA screen)</v>
      </c>
      <c r="E609" s="139"/>
      <c r="T609" s="139" t="s">
        <v>1119</v>
      </c>
      <c r="U609" s="108" t="s">
        <v>1123</v>
      </c>
      <c r="V609" s="107">
        <v>8.9</v>
      </c>
    </row>
    <row r="610" spans="1:22">
      <c r="A610" s="137" t="s">
        <v>1124</v>
      </c>
      <c r="B610" s="59">
        <f>+B609+1</f>
        <v>602</v>
      </c>
      <c r="C610" s="102">
        <v>12.5</v>
      </c>
      <c r="D610" s="92" t="str">
        <f>+A610</f>
        <v>ANCA - ANTI-NEUTROPHIL CYTO ANTIBODIES</v>
      </c>
      <c r="E610" s="139"/>
      <c r="T610" s="139" t="s">
        <v>1125</v>
      </c>
      <c r="U610" s="109"/>
      <c r="V610" s="107">
        <v>17.7</v>
      </c>
    </row>
    <row r="611" spans="1:22">
      <c r="A611" s="137" t="s">
        <v>1126</v>
      </c>
      <c r="B611" s="59">
        <f>+B610+1</f>
        <v>603</v>
      </c>
      <c r="C611" s="102">
        <v>12.7</v>
      </c>
      <c r="D611" s="92" t="str">
        <f>+A611</f>
        <v>ANTI CARDIOLIPIN IgG &amp; IgM</v>
      </c>
      <c r="E611" s="139"/>
      <c r="T611" s="139"/>
      <c r="U611" s="109"/>
      <c r="V611" s="107"/>
    </row>
    <row r="612" spans="1:22">
      <c r="A612" s="137" t="s">
        <v>1127</v>
      </c>
      <c r="B612" s="59">
        <f>+B611+1</f>
        <v>604</v>
      </c>
      <c r="C612" s="102">
        <v>31.5</v>
      </c>
      <c r="D612" s="92" t="str">
        <f>+A612</f>
        <v>ANTI C1 ESTERASE ANTIBODY</v>
      </c>
      <c r="E612" s="139"/>
      <c r="T612" s="139"/>
      <c r="U612" s="109"/>
      <c r="V612" s="107"/>
    </row>
    <row r="613" spans="1:22">
      <c r="A613" s="137" t="s">
        <v>1128</v>
      </c>
      <c r="B613" s="59">
        <f>+B612+1</f>
        <v>605</v>
      </c>
      <c r="C613" s="102">
        <v>12.5</v>
      </c>
      <c r="D613" s="92" t="str">
        <f>+A613</f>
        <v>ANTI RI (ANNA-2) NEURONAL ANTIBODY (CSF)</v>
      </c>
      <c r="E613" s="139"/>
      <c r="T613" s="139"/>
      <c r="U613" s="109"/>
      <c r="V613" s="107"/>
    </row>
    <row r="614" spans="1:22">
      <c r="A614" s="137" t="s">
        <v>1129</v>
      </c>
      <c r="B614" s="59">
        <f>+B613+1</f>
        <v>606</v>
      </c>
      <c r="C614" s="102">
        <v>63</v>
      </c>
      <c r="D614" s="92" t="str">
        <f>+A614</f>
        <v>ANTI RI (ANNA-2) NEURONAL ANTIBODY (sent away)</v>
      </c>
      <c r="E614" s="139"/>
      <c r="T614" s="139"/>
      <c r="U614" s="109"/>
      <c r="V614" s="107"/>
    </row>
    <row r="615" spans="1:22">
      <c r="A615" s="137" t="s">
        <v>1130</v>
      </c>
      <c r="B615" s="59">
        <f>+B614+1</f>
        <v>607</v>
      </c>
      <c r="C615" s="102">
        <v>30</v>
      </c>
      <c r="D615" s="92" t="str">
        <f>+A615</f>
        <v>ANTI-COLLEGEN TYPE 2(send away)</v>
      </c>
      <c r="E615" s="139"/>
      <c r="T615" s="139"/>
      <c r="U615" s="109"/>
      <c r="V615" s="107"/>
    </row>
    <row r="616" spans="1:22">
      <c r="A616" s="137" t="s">
        <v>1131</v>
      </c>
      <c r="B616" s="59">
        <f>+B615+1</f>
        <v>608</v>
      </c>
      <c r="C616" s="102">
        <v>30</v>
      </c>
      <c r="D616" s="92" t="str">
        <f>+A616</f>
        <v>ANTI-CHOLINESTERASE Ab(send away)</v>
      </c>
      <c r="E616" s="139"/>
      <c r="T616" s="139"/>
      <c r="U616" s="109"/>
      <c r="V616" s="107"/>
    </row>
    <row r="617" spans="1:22">
      <c r="A617" s="137" t="s">
        <v>1132</v>
      </c>
      <c r="B617" s="59">
        <f>+B616+1</f>
        <v>609</v>
      </c>
      <c r="C617" s="102">
        <v>15</v>
      </c>
      <c r="D617" s="92" t="str">
        <f>+A617</f>
        <v>AMYLOID-A(send away)</v>
      </c>
      <c r="E617" s="139"/>
      <c r="T617" s="139"/>
      <c r="U617" s="109"/>
      <c r="V617" s="107"/>
    </row>
    <row r="618" spans="1:22">
      <c r="A618" s="137" t="s">
        <v>1133</v>
      </c>
      <c r="B618" s="59">
        <f>+B617+1</f>
        <v>610</v>
      </c>
      <c r="C618" s="102" t="e">
        <v>#REF!</v>
      </c>
      <c r="D618" s="92" t="str">
        <f>+A618</f>
        <v>ANTI-C1Q ANTIBODY</v>
      </c>
      <c r="E618" s="139"/>
      <c r="T618" s="139"/>
      <c r="U618" s="109"/>
      <c r="V618" s="107"/>
    </row>
    <row r="619" spans="1:22">
      <c r="A619" s="137" t="s">
        <v>1134</v>
      </c>
      <c r="B619" s="59">
        <f>+B618+1</f>
        <v>611</v>
      </c>
      <c r="C619" s="102">
        <v>29.1</v>
      </c>
      <c r="D619" s="92" t="str">
        <f>+A619</f>
        <v>ANTI-IGA ANTIBODY (send away)</v>
      </c>
      <c r="E619" s="139"/>
      <c r="T619" s="139"/>
      <c r="U619" s="109"/>
      <c r="V619" s="107"/>
    </row>
    <row r="620" spans="1:22">
      <c r="A620" s="137" t="s">
        <v>1135</v>
      </c>
      <c r="B620" s="59">
        <f>+B619+1</f>
        <v>612</v>
      </c>
      <c r="C620" s="102" t="s">
        <v>1136</v>
      </c>
      <c r="D620" s="92" t="str">
        <f>+A620</f>
        <v>AQUAPORIN 4 (Send away)</v>
      </c>
      <c r="E620" s="139"/>
      <c r="T620" s="139"/>
      <c r="U620" s="109"/>
      <c r="V620" s="107"/>
    </row>
    <row r="621" spans="1:22">
      <c r="A621" s="137" t="s">
        <v>1137</v>
      </c>
      <c r="B621" s="59">
        <f>+B620+1</f>
        <v>613</v>
      </c>
      <c r="C621" s="102">
        <v>11.9</v>
      </c>
      <c r="D621" s="92" t="str">
        <f>+A621</f>
        <v>ASPERGILLUS PRECIPITINS</v>
      </c>
      <c r="E621" s="139"/>
      <c r="T621" s="139"/>
      <c r="U621" s="109"/>
      <c r="V621" s="107"/>
    </row>
    <row r="622" spans="1:22">
      <c r="A622" s="137" t="s">
        <v>1138</v>
      </c>
      <c r="B622" s="59">
        <f>+B621+1</f>
        <v>614</v>
      </c>
      <c r="C622" s="102">
        <v>23.8</v>
      </c>
      <c r="D622" s="92" t="str">
        <f>+A622</f>
        <v>AVIAN PRECIPITINS</v>
      </c>
      <c r="E622" s="139"/>
      <c r="T622" s="139"/>
      <c r="U622" s="109"/>
      <c r="V622" s="107"/>
    </row>
    <row r="623" spans="1:22">
      <c r="A623" s="137" t="s">
        <v>1139</v>
      </c>
      <c r="B623" s="59">
        <f>+B622+1</f>
        <v>615</v>
      </c>
      <c r="C623" s="102">
        <v>9.8</v>
      </c>
      <c r="D623" s="92" t="str">
        <f>+A623</f>
        <v>BETA 2 GLYCOPROTEIN 1</v>
      </c>
      <c r="E623" s="139"/>
      <c r="T623" s="139"/>
      <c r="U623" s="109"/>
      <c r="V623" s="107"/>
    </row>
    <row r="624" spans="1:22">
      <c r="A624" s="137" t="s">
        <v>1140</v>
      </c>
      <c r="B624" s="59">
        <f>+B623+1</f>
        <v>616</v>
      </c>
      <c r="C624" s="102">
        <v>6.4</v>
      </c>
      <c r="D624" s="92" t="str">
        <f>+A624</f>
        <v>BETA 2 MICROGLOBULIN (NON HAZARDOUS) </v>
      </c>
      <c r="E624" s="139"/>
      <c r="T624" s="139"/>
      <c r="U624" s="109"/>
      <c r="V624" s="107"/>
    </row>
    <row r="625" spans="1:22">
      <c r="A625" s="137" t="s">
        <v>1141</v>
      </c>
      <c r="B625" s="59">
        <f>+B624+1</f>
        <v>617</v>
      </c>
      <c r="C625" s="102">
        <v>10.5</v>
      </c>
      <c r="D625" s="92" t="str">
        <f>+A625</f>
        <v>BETA 2 MICROGLOBULIN URINE</v>
      </c>
      <c r="E625" s="139"/>
      <c r="T625" s="139"/>
      <c r="U625" s="109"/>
      <c r="V625" s="107"/>
    </row>
    <row r="626" spans="1:22">
      <c r="A626" s="137" t="s">
        <v>1142</v>
      </c>
      <c r="B626" s="59">
        <f>+B625+1</f>
        <v>618</v>
      </c>
      <c r="C626" s="102">
        <v>10.5</v>
      </c>
      <c r="D626" s="92" t="str">
        <f>+A626</f>
        <v>C1 ESTERASE INHIBITOR  </v>
      </c>
      <c r="E626" s="139"/>
      <c r="T626" s="139"/>
      <c r="U626" s="109"/>
      <c r="V626" s="107"/>
    </row>
    <row r="627" spans="1:22">
      <c r="A627" s="137" t="s">
        <v>1143</v>
      </c>
      <c r="B627" s="59">
        <f>+B626+1</f>
        <v>619</v>
      </c>
      <c r="C627" s="102">
        <v>21.8</v>
      </c>
      <c r="D627" s="92" t="str">
        <f>+A627</f>
        <v>C1 ESTERASE INHIBITOR FUNCTIONAL ASSAY </v>
      </c>
      <c r="E627" s="139"/>
      <c r="T627" s="139"/>
      <c r="U627" s="109"/>
      <c r="V627" s="107"/>
    </row>
    <row r="628" spans="1:22">
      <c r="A628" s="137" t="s">
        <v>1144</v>
      </c>
      <c r="B628" s="59">
        <f>+B627+1</f>
        <v>620</v>
      </c>
      <c r="C628" s="102">
        <v>12.7</v>
      </c>
      <c r="D628" s="92" t="str">
        <f>+A628</f>
        <v>C3 NEPHRITIC FACTOR  </v>
      </c>
      <c r="E628" s="139"/>
      <c r="T628" s="139"/>
      <c r="U628" s="109"/>
      <c r="V628" s="107"/>
    </row>
    <row r="629" spans="1:22">
      <c r="A629" s="137" t="s">
        <v>1145</v>
      </c>
      <c r="B629" s="59">
        <f>+B628+1</f>
        <v>621</v>
      </c>
      <c r="C629" s="102">
        <v>17.6</v>
      </c>
      <c r="D629" s="92" t="str">
        <f>+A629</f>
        <v>CARDIAC MUSCLE ANTIBODY</v>
      </c>
      <c r="E629" s="139"/>
      <c r="T629" s="139"/>
      <c r="U629" s="109"/>
      <c r="V629" s="107"/>
    </row>
    <row r="630" spans="1:22">
      <c r="A630" s="137" t="s">
        <v>1146</v>
      </c>
      <c r="B630" s="59">
        <f>+B629+1</f>
        <v>622</v>
      </c>
      <c r="C630" s="102">
        <v>19</v>
      </c>
      <c r="D630" s="92" t="str">
        <f>+A630</f>
        <v>CARTILAGE ANTIBODY (sent away)</v>
      </c>
      <c r="E630" s="139"/>
      <c r="T630" s="139"/>
      <c r="U630" s="109"/>
      <c r="V630" s="107"/>
    </row>
    <row r="631" spans="1:22">
      <c r="A631" s="137" t="s">
        <v>1053</v>
      </c>
      <c r="B631" s="59">
        <f>+B630+1</f>
        <v>623</v>
      </c>
      <c r="C631" s="102">
        <v>10.1</v>
      </c>
      <c r="D631" s="92" t="str">
        <f>+A631</f>
        <v>CCP</v>
      </c>
      <c r="E631" s="139"/>
      <c r="T631" s="139"/>
      <c r="U631" s="109"/>
      <c r="V631" s="107"/>
    </row>
    <row r="632" spans="1:22">
      <c r="A632" s="137" t="s">
        <v>1147</v>
      </c>
      <c r="B632" s="59">
        <f>+B631+1</f>
        <v>624</v>
      </c>
      <c r="C632" s="102">
        <v>150</v>
      </c>
      <c r="D632" s="92" t="str">
        <f>+A632</f>
        <v>COMPONENT RESOLVED DIAGNOSIS</v>
      </c>
      <c r="E632" s="139"/>
      <c r="T632" s="139"/>
      <c r="U632" s="109"/>
      <c r="V632" s="107"/>
    </row>
    <row r="633" spans="1:22">
      <c r="A633" s="137" t="s">
        <v>1148</v>
      </c>
      <c r="B633" s="59">
        <f>+B632+1</f>
        <v>625</v>
      </c>
      <c r="C633" s="102">
        <v>12.8</v>
      </c>
      <c r="D633" s="92" t="str">
        <f>+A633</f>
        <v>CENTROMERE </v>
      </c>
      <c r="E633" s="139"/>
      <c r="T633" s="139"/>
      <c r="U633" s="109"/>
      <c r="V633" s="107"/>
    </row>
    <row r="634" spans="1:22">
      <c r="A634" s="137" t="s">
        <v>1149</v>
      </c>
      <c r="B634" s="59">
        <f>+B633+1</f>
        <v>626</v>
      </c>
      <c r="C634" s="102">
        <v>21.6</v>
      </c>
      <c r="D634" s="92" t="str">
        <f>+A634</f>
        <v>CH50(FUNCTIONAL COMPLEMENT ASSAY)+C3C4 </v>
      </c>
      <c r="E634" s="139"/>
      <c r="T634" s="139"/>
      <c r="U634" s="109"/>
      <c r="V634" s="107"/>
    </row>
    <row r="635" spans="1:22">
      <c r="A635" s="137" t="s">
        <v>1150</v>
      </c>
      <c r="B635" s="59">
        <f>+B634+1</f>
        <v>627</v>
      </c>
      <c r="C635" s="102">
        <v>8.9</v>
      </c>
      <c r="D635" s="92" t="str">
        <f>+A635</f>
        <v>COMPLEMENT C3C4</v>
      </c>
      <c r="E635" s="139"/>
      <c r="T635" s="139"/>
      <c r="U635" s="109"/>
      <c r="V635" s="107"/>
    </row>
    <row r="636" spans="1:22">
      <c r="A636" s="137" t="s">
        <v>1151</v>
      </c>
      <c r="B636" s="59">
        <f>+B635+1</f>
        <v>628</v>
      </c>
      <c r="C636" s="102">
        <v>20</v>
      </c>
      <c r="D636" s="92" t="str">
        <f>+A636</f>
        <v>COMPLEMENT COMPONENT C2</v>
      </c>
      <c r="E636" s="139"/>
      <c r="T636" s="139"/>
      <c r="U636" s="109"/>
      <c r="V636" s="107"/>
    </row>
    <row r="637" spans="1:22">
      <c r="A637" s="137" t="s">
        <v>1152</v>
      </c>
      <c r="B637" s="59">
        <f>+B636+1</f>
        <v>629</v>
      </c>
      <c r="C637" s="102">
        <v>20</v>
      </c>
      <c r="D637" s="92" t="str">
        <f>+A637</f>
        <v>ALT'VE COMPLEMENT PATHWAY FACTOR H</v>
      </c>
      <c r="E637" s="139"/>
      <c r="T637" s="139"/>
      <c r="U637" s="109"/>
      <c r="V637" s="107"/>
    </row>
    <row r="638" spans="1:22">
      <c r="A638" s="137" t="s">
        <v>1153</v>
      </c>
      <c r="B638" s="59">
        <f>+B637+1</f>
        <v>630</v>
      </c>
      <c r="C638" s="102">
        <v>10</v>
      </c>
      <c r="D638" s="92" t="str">
        <f>+A638</f>
        <v>ALT'VE COMPLEMENT PATHWAY AP50</v>
      </c>
      <c r="E638" s="139"/>
      <c r="T638" s="139"/>
      <c r="U638" s="109"/>
      <c r="V638" s="107"/>
    </row>
    <row r="639" spans="1:22">
      <c r="A639" s="137" t="s">
        <v>1154</v>
      </c>
      <c r="B639" s="59">
        <f>+B638+1</f>
        <v>631</v>
      </c>
      <c r="C639" s="102">
        <v>25</v>
      </c>
      <c r="D639" s="92" t="str">
        <f>+A639</f>
        <v>ALT'VE COMP PATHWAY -ELISA</v>
      </c>
      <c r="E639" s="139"/>
      <c r="T639" s="139"/>
      <c r="U639" s="109"/>
      <c r="V639" s="107"/>
    </row>
    <row r="640" spans="1:22">
      <c r="A640" s="137" t="s">
        <v>1155</v>
      </c>
      <c r="B640" s="59">
        <f>+B639+1</f>
        <v>632</v>
      </c>
      <c r="C640" s="102">
        <v>25</v>
      </c>
      <c r="D640" s="92" t="str">
        <f>+A640</f>
        <v>CLASSICAL COMP PATHWAT- ELISA</v>
      </c>
      <c r="E640" s="139"/>
      <c r="T640" s="139"/>
      <c r="U640" s="109"/>
      <c r="V640" s="107"/>
    </row>
    <row r="641" spans="1:22">
      <c r="A641" s="137" t="s">
        <v>1156</v>
      </c>
      <c r="B641" s="59">
        <f>+B640+1</f>
        <v>633</v>
      </c>
      <c r="C641" s="102">
        <v>25</v>
      </c>
      <c r="D641" s="92" t="str">
        <f>+A641</f>
        <v>COMPLEMENT MANNIN BINDING LECTINS</v>
      </c>
      <c r="E641" s="139"/>
      <c r="T641" s="139"/>
      <c r="U641" s="109"/>
      <c r="V641" s="107"/>
    </row>
    <row r="642" spans="1:22">
      <c r="A642" s="137" t="s">
        <v>1157</v>
      </c>
      <c r="B642" s="59">
        <f>+B641+1</f>
        <v>634</v>
      </c>
      <c r="C642" s="102">
        <v>5.6</v>
      </c>
      <c r="D642" s="92" t="str">
        <f>+A642</f>
        <v>CONNECTIVE TISSUE ANA SCREEN</v>
      </c>
      <c r="E642" s="139"/>
      <c r="T642" s="139"/>
      <c r="U642" s="109"/>
      <c r="V642" s="107"/>
    </row>
    <row r="643" spans="1:22">
      <c r="A643" s="137" t="s">
        <v>1158</v>
      </c>
      <c r="B643" s="59">
        <f>+B642+1</f>
        <v>635</v>
      </c>
      <c r="C643" s="102">
        <v>15.1</v>
      </c>
      <c r="D643" s="92" t="str">
        <f>+A643</f>
        <v>CRYOGLOBULIN </v>
      </c>
      <c r="E643" s="139"/>
      <c r="T643" s="139"/>
      <c r="U643" s="109"/>
      <c r="V643" s="107"/>
    </row>
    <row r="644" spans="1:22">
      <c r="A644" s="137" t="s">
        <v>1159</v>
      </c>
      <c r="B644" s="59">
        <f>+B643+1</f>
        <v>636</v>
      </c>
      <c r="C644" s="102">
        <v>5.6</v>
      </c>
      <c r="D644" s="92" t="str">
        <f>+A644</f>
        <v>CSF ALBUMIN </v>
      </c>
      <c r="E644" s="139"/>
      <c r="T644" s="139"/>
      <c r="U644" s="109"/>
      <c r="V644" s="107"/>
    </row>
    <row r="645" spans="1:22">
      <c r="A645" s="137" t="s">
        <v>1160</v>
      </c>
      <c r="B645" s="59">
        <f>+B644+1</f>
        <v>637</v>
      </c>
      <c r="C645" s="102">
        <v>28.7</v>
      </c>
      <c r="D645" s="92" t="str">
        <f>+A645</f>
        <v>CSF Analysis (IgG Alb and OCBS)</v>
      </c>
      <c r="E645" s="139"/>
      <c r="T645" s="139"/>
      <c r="U645" s="109"/>
      <c r="V645" s="107"/>
    </row>
    <row r="646" spans="1:22">
      <c r="A646" s="137" t="s">
        <v>1161</v>
      </c>
      <c r="B646" s="59">
        <f>+B645+1</f>
        <v>638</v>
      </c>
      <c r="C646" s="102">
        <v>0</v>
      </c>
      <c r="D646" s="92" t="str">
        <f>+A646</f>
        <v>CSF CALCULATION NO COST</v>
      </c>
      <c r="E646" s="139"/>
      <c r="T646" s="139"/>
      <c r="U646" s="109"/>
      <c r="V646" s="107"/>
    </row>
    <row r="647" spans="1:22">
      <c r="A647" s="137" t="s">
        <v>1162</v>
      </c>
      <c r="B647" s="59">
        <f>+B646+1</f>
        <v>639</v>
      </c>
      <c r="C647" s="102">
        <v>5.6</v>
      </c>
      <c r="D647" s="92" t="str">
        <f>+A647</f>
        <v>CSF IGG</v>
      </c>
      <c r="E647" s="139"/>
      <c r="T647" s="139"/>
      <c r="U647" s="109"/>
      <c r="V647" s="107"/>
    </row>
    <row r="648" spans="1:22">
      <c r="A648" s="137" t="s">
        <v>1163</v>
      </c>
      <c r="B648" s="59">
        <f>+B647+1</f>
        <v>640</v>
      </c>
      <c r="C648" s="102">
        <v>20.2</v>
      </c>
      <c r="D648" s="92" t="str">
        <f>+A648</f>
        <v>CSF IMMUNOELECTROPHORESIS</v>
      </c>
      <c r="E648" s="139"/>
      <c r="T648" s="139"/>
      <c r="U648" s="109"/>
      <c r="V648" s="107"/>
    </row>
    <row r="649" spans="1:22">
      <c r="A649" s="137" t="s">
        <v>1164</v>
      </c>
      <c r="B649" s="59">
        <f>+B648+1</f>
        <v>641</v>
      </c>
      <c r="C649" s="102">
        <v>11.8</v>
      </c>
      <c r="D649" s="92" t="str">
        <f>+A649</f>
        <v>DNA  ANTIBODIES</v>
      </c>
      <c r="E649" s="139"/>
      <c r="T649" s="139"/>
      <c r="U649" s="109"/>
      <c r="V649" s="107"/>
    </row>
    <row r="650" spans="1:22">
      <c r="A650" s="137" t="s">
        <v>1165</v>
      </c>
      <c r="B650" s="59">
        <f>+B649+1</f>
        <v>642</v>
      </c>
      <c r="C650" s="102">
        <v>21</v>
      </c>
      <c r="D650" s="92" t="str">
        <f>+A650</f>
        <v>ENA EXTENDED SCREEN</v>
      </c>
      <c r="E650" s="139"/>
      <c r="T650" s="139"/>
      <c r="U650" s="109"/>
      <c r="V650" s="107"/>
    </row>
    <row r="651" spans="1:22">
      <c r="A651" s="137" t="s">
        <v>1166</v>
      </c>
      <c r="B651" s="59">
        <f>+B650+1</f>
        <v>643</v>
      </c>
      <c r="C651" s="102">
        <v>22.2</v>
      </c>
      <c r="D651" s="92" t="str">
        <f>+A651</f>
        <v>ENA PROFILE</v>
      </c>
      <c r="E651" s="139"/>
      <c r="T651" s="139"/>
      <c r="U651" s="109"/>
      <c r="V651" s="107"/>
    </row>
    <row r="652" spans="1:22">
      <c r="A652" s="137" t="s">
        <v>1167</v>
      </c>
      <c r="B652" s="59">
        <f>+B651+1</f>
        <v>644</v>
      </c>
      <c r="C652" s="102">
        <v>5.6</v>
      </c>
      <c r="D652" s="92" t="str">
        <f>+A652</f>
        <v>ENA SCREEN</v>
      </c>
      <c r="E652" s="139"/>
      <c r="T652" s="139"/>
      <c r="U652" s="109"/>
      <c r="V652" s="107"/>
    </row>
    <row r="653" spans="1:22">
      <c r="A653" s="137" t="s">
        <v>1168</v>
      </c>
      <c r="B653" s="59">
        <f>+B652+1</f>
        <v>645</v>
      </c>
      <c r="C653" s="102">
        <v>9.5</v>
      </c>
      <c r="D653" s="92" t="str">
        <f>+A653</f>
        <v>ENDOMYSIAL ANTIBODY IGA</v>
      </c>
      <c r="E653" s="139"/>
      <c r="T653" s="139"/>
      <c r="U653" s="109"/>
      <c r="V653" s="107"/>
    </row>
    <row r="654" spans="1:22">
      <c r="A654" s="137" t="s">
        <v>1169</v>
      </c>
      <c r="B654" s="59">
        <f>+B653+1</f>
        <v>646</v>
      </c>
      <c r="C654" s="102">
        <v>9.5</v>
      </c>
      <c r="D654" s="92" t="str">
        <f>+A654</f>
        <v>ENDOMYSIAL ANTIBODY IGG</v>
      </c>
      <c r="E654" s="139"/>
      <c r="T654" s="139"/>
      <c r="U654" s="109"/>
      <c r="V654" s="107"/>
    </row>
    <row r="655" spans="1:22">
      <c r="A655" s="137" t="s">
        <v>1170</v>
      </c>
      <c r="B655" s="59">
        <f>+B654+1</f>
        <v>647</v>
      </c>
      <c r="C655" s="102">
        <v>20.5</v>
      </c>
      <c r="D655" s="92" t="str">
        <f>+A655</f>
        <v>ENTEROCYTE ANTIBODY (sent away)</v>
      </c>
      <c r="E655" s="139"/>
      <c r="T655" s="139" t="s">
        <v>1171</v>
      </c>
      <c r="U655" s="109"/>
      <c r="V655" s="107">
        <v>13.3</v>
      </c>
    </row>
    <row r="656" spans="1:22">
      <c r="A656" s="137" t="s">
        <v>1172</v>
      </c>
      <c r="B656" s="59">
        <f>+B655+1</f>
        <v>648</v>
      </c>
      <c r="C656" s="102">
        <v>11.9</v>
      </c>
      <c r="D656" s="92" t="str">
        <f>+A656</f>
        <v>FARMER'S LUNG PRECIPITINS</v>
      </c>
      <c r="E656" s="139"/>
      <c r="T656" s="139" t="s">
        <v>1173</v>
      </c>
      <c r="U656" s="108" t="s">
        <v>1174</v>
      </c>
      <c r="V656" s="107">
        <v>13.3</v>
      </c>
    </row>
    <row r="657" spans="1:22">
      <c r="A657" s="137" t="s">
        <v>1175</v>
      </c>
      <c r="B657" s="59">
        <f>+B656+1</f>
        <v>649</v>
      </c>
      <c r="C657" s="102">
        <v>25</v>
      </c>
      <c r="D657" s="92" t="str">
        <f>+A657</f>
        <v>FREE LIGHT CHAINS (SERUM)</v>
      </c>
      <c r="E657" s="139"/>
      <c r="T657" s="139" t="s">
        <v>1122</v>
      </c>
      <c r="U657" s="108" t="s">
        <v>1176</v>
      </c>
      <c r="V657" s="107">
        <v>5.6</v>
      </c>
    </row>
    <row r="658" spans="1:22">
      <c r="A658" s="137" t="s">
        <v>1177</v>
      </c>
      <c r="B658" s="59">
        <f>+B657+1</f>
        <v>650</v>
      </c>
      <c r="C658" s="102">
        <v>31.5</v>
      </c>
      <c r="D658" s="92" t="str">
        <f>+A658</f>
        <v>FUNCTIONAL ANTIBODIES (PNEUMO IgG 1&amp;2 TETANUS IgG HAEM B)</v>
      </c>
      <c r="E658" s="139"/>
      <c r="T658" s="139" t="s">
        <v>1124</v>
      </c>
      <c r="U658" s="108" t="s">
        <v>1178</v>
      </c>
      <c r="V658" s="107">
        <v>12.5</v>
      </c>
    </row>
    <row r="659" spans="1:22" ht="37.5">
      <c r="A659" s="137" t="s">
        <v>1179</v>
      </c>
      <c r="B659" s="59">
        <f>+B658+1</f>
        <v>651</v>
      </c>
      <c r="C659" s="102">
        <v>5.8</v>
      </c>
      <c r="D659" s="92" t="str">
        <f>+A659</f>
        <v>GASTRIC PARIETAL CELL ANTIBODY</v>
      </c>
      <c r="E659" s="140"/>
      <c r="T659" s="140" t="s">
        <v>1180</v>
      </c>
      <c r="U659" s="141" t="s">
        <v>1181</v>
      </c>
      <c r="V659" s="107">
        <v>17.7</v>
      </c>
    </row>
    <row r="660" spans="1:22">
      <c r="A660" s="137" t="s">
        <v>1182</v>
      </c>
      <c r="B660" s="59">
        <f>+B659+1</f>
        <v>652</v>
      </c>
      <c r="C660" s="102">
        <v>14.6</v>
      </c>
      <c r="D660" s="92" t="str">
        <f>+A660</f>
        <v>GLOMERULAR BASEMENT MEMBRANE ANTIBODY </v>
      </c>
      <c r="E660" s="139"/>
      <c r="T660" s="139" t="s">
        <v>1183</v>
      </c>
      <c r="U660" s="108" t="s">
        <v>1184</v>
      </c>
      <c r="V660" s="107">
        <v>12.7</v>
      </c>
    </row>
    <row r="661" spans="1:22">
      <c r="A661" s="137" t="s">
        <v>1185</v>
      </c>
      <c r="B661" s="59">
        <f>+B660+1</f>
        <v>653</v>
      </c>
      <c r="C661" s="102">
        <v>10.6</v>
      </c>
      <c r="D661" s="92" t="str">
        <f>+A661</f>
        <v>HAEMOPHILUS B</v>
      </c>
      <c r="E661" s="139"/>
      <c r="T661" s="139" t="s">
        <v>1128</v>
      </c>
      <c r="U661" s="108" t="s">
        <v>1186</v>
      </c>
      <c r="V661" s="107">
        <v>12.5</v>
      </c>
    </row>
    <row r="662" spans="1:22">
      <c r="A662" s="137" t="s">
        <v>1187</v>
      </c>
      <c r="B662" s="59">
        <f>+B661+1</f>
        <v>654</v>
      </c>
      <c r="C662" s="102">
        <v>12.8</v>
      </c>
      <c r="D662" s="92" t="str">
        <f>+A662</f>
        <v>HEP2</v>
      </c>
      <c r="E662" s="138"/>
      <c r="T662" s="138" t="s">
        <v>1129</v>
      </c>
      <c r="U662" s="108" t="s">
        <v>1188</v>
      </c>
      <c r="V662" s="107">
        <v>63</v>
      </c>
    </row>
    <row r="663" spans="1:22">
      <c r="A663" s="137" t="s">
        <v>1189</v>
      </c>
      <c r="B663" s="59">
        <f>+B662+1</f>
        <v>655</v>
      </c>
      <c r="C663" s="102">
        <v>20.5</v>
      </c>
      <c r="D663" s="92" t="str">
        <f>+A663</f>
        <v>HISTONE ABS </v>
      </c>
      <c r="E663" s="138"/>
      <c r="T663" s="139" t="s">
        <v>1130</v>
      </c>
      <c r="U663" s="108" t="s">
        <v>1190</v>
      </c>
      <c r="V663" s="107">
        <v>30</v>
      </c>
    </row>
    <row r="664" spans="1:22">
      <c r="A664" s="137" t="s">
        <v>1191</v>
      </c>
      <c r="B664" s="59">
        <f>+B663+1</f>
        <v>656</v>
      </c>
      <c r="C664" s="102">
        <v>10.1</v>
      </c>
      <c r="D664" s="92" t="str">
        <f>+A664</f>
        <v>IGA LOW CONCENTRATION</v>
      </c>
      <c r="E664" s="138"/>
      <c r="T664" s="139" t="s">
        <v>1131</v>
      </c>
      <c r="U664" s="108" t="s">
        <v>1192</v>
      </c>
      <c r="V664" s="107">
        <v>30</v>
      </c>
    </row>
    <row r="665" spans="1:22">
      <c r="A665" s="137" t="s">
        <v>1193</v>
      </c>
      <c r="B665" s="59">
        <f>+B664+1</f>
        <v>657</v>
      </c>
      <c r="C665" s="102">
        <v>25.3</v>
      </c>
      <c r="D665" s="92" t="str">
        <f>+A665</f>
        <v>IGG SUBCLASSES </v>
      </c>
      <c r="E665" s="138"/>
      <c r="T665" s="139" t="s">
        <v>1132</v>
      </c>
      <c r="U665" s="108" t="s">
        <v>1194</v>
      </c>
      <c r="V665" s="107">
        <v>15</v>
      </c>
    </row>
    <row r="666" spans="1:22">
      <c r="A666" s="137" t="s">
        <v>1195</v>
      </c>
      <c r="B666" s="59">
        <f>+B665+1</f>
        <v>658</v>
      </c>
      <c r="C666" s="102">
        <v>37.8</v>
      </c>
      <c r="D666" s="92" t="str">
        <f>+A666</f>
        <v>IMMUNOELECTROPHORESIS (URINE)</v>
      </c>
      <c r="E666" s="139"/>
      <c r="T666" s="139" t="s">
        <v>1133</v>
      </c>
      <c r="U666" s="108" t="s">
        <v>1196</v>
      </c>
      <c r="V666" s="107">
        <v>22.2</v>
      </c>
    </row>
    <row r="667" spans="1:22">
      <c r="A667" s="137" t="s">
        <v>1197</v>
      </c>
      <c r="B667" s="59">
        <f>+B666+1</f>
        <v>659</v>
      </c>
      <c r="C667" s="102">
        <v>37.8</v>
      </c>
      <c r="D667" s="92" t="str">
        <f>+A667</f>
        <v>IMMUNOELECTROPHORESIS (SERUM)</v>
      </c>
      <c r="E667" s="139"/>
      <c r="T667" s="139" t="s">
        <v>1134</v>
      </c>
      <c r="U667" s="108" t="s">
        <v>1198</v>
      </c>
      <c r="V667" s="107">
        <v>29.1</v>
      </c>
    </row>
    <row r="668" spans="1:22">
      <c r="A668" s="137" t="s">
        <v>1199</v>
      </c>
      <c r="B668" s="59">
        <f>+B667+1</f>
        <v>660</v>
      </c>
      <c r="C668" s="102">
        <v>37.8</v>
      </c>
      <c r="D668" s="92" t="str">
        <f>+A668</f>
        <v>IMMUNOFIXATION (IFIX)</v>
      </c>
      <c r="E668" s="139"/>
      <c r="T668" s="139" t="s">
        <v>1200</v>
      </c>
      <c r="U668" s="108" t="s">
        <v>1201</v>
      </c>
      <c r="V668" s="107">
        <v>13.3</v>
      </c>
    </row>
    <row r="669" spans="1:22">
      <c r="A669" s="137" t="s">
        <v>1202</v>
      </c>
      <c r="B669" s="59">
        <f>+B668+1</f>
        <v>661</v>
      </c>
      <c r="C669" s="102">
        <v>5.6</v>
      </c>
      <c r="D669" s="92" t="str">
        <f>+A669</f>
        <v>IMMUNOGLOBULIN D </v>
      </c>
      <c r="E669" s="139"/>
      <c r="T669" s="139" t="s">
        <v>1137</v>
      </c>
      <c r="U669" s="108" t="s">
        <v>1203</v>
      </c>
      <c r="V669" s="107">
        <v>11.9</v>
      </c>
    </row>
    <row r="670" spans="1:22">
      <c r="A670" s="137" t="s">
        <v>1204</v>
      </c>
      <c r="B670" s="59">
        <f>+B669+1</f>
        <v>662</v>
      </c>
      <c r="C670" s="102">
        <v>7</v>
      </c>
      <c r="D670" s="92" t="str">
        <f>+A670</f>
        <v>IMMUNOGLOBULIN E </v>
      </c>
      <c r="E670" s="139"/>
      <c r="T670" s="139" t="s">
        <v>1205</v>
      </c>
      <c r="U670" s="108" t="s">
        <v>1206</v>
      </c>
      <c r="V670" s="107">
        <v>13.3</v>
      </c>
    </row>
    <row r="671" spans="1:22">
      <c r="A671" s="137" t="s">
        <v>1207</v>
      </c>
      <c r="B671" s="59">
        <f>+B670+1</f>
        <v>663</v>
      </c>
      <c r="C671" s="102">
        <v>5.6</v>
      </c>
      <c r="D671" s="92" t="str">
        <f>+A671</f>
        <v>IMMUNOGLOBULIN IGA</v>
      </c>
      <c r="E671" s="139"/>
      <c r="T671" s="139" t="s">
        <v>1138</v>
      </c>
      <c r="U671" s="108" t="s">
        <v>1208</v>
      </c>
      <c r="V671" s="107">
        <v>23.8</v>
      </c>
    </row>
    <row r="672" spans="1:22">
      <c r="A672" s="137" t="s">
        <v>1209</v>
      </c>
      <c r="B672" s="59">
        <f>+B671+1</f>
        <v>664</v>
      </c>
      <c r="C672" s="102">
        <v>5.6</v>
      </c>
      <c r="D672" s="92" t="str">
        <f>+A672</f>
        <v>IMMUNOGLOBULIN IGG</v>
      </c>
      <c r="E672" s="139"/>
      <c r="T672" s="139" t="s">
        <v>1210</v>
      </c>
      <c r="U672" s="108" t="s">
        <v>1211</v>
      </c>
      <c r="V672" s="107">
        <v>13.3</v>
      </c>
    </row>
    <row r="673" spans="1:22">
      <c r="A673" s="137" t="s">
        <v>1212</v>
      </c>
      <c r="B673" s="59">
        <f>+B672+1</f>
        <v>665</v>
      </c>
      <c r="C673" s="102">
        <v>5.6</v>
      </c>
      <c r="D673" s="92" t="str">
        <f>+A673</f>
        <v>IMMUNOGLOBULIN IGM</v>
      </c>
      <c r="E673" s="139"/>
      <c r="T673" s="139" t="s">
        <v>1139</v>
      </c>
      <c r="U673" s="108" t="s">
        <v>1213</v>
      </c>
      <c r="V673" s="107">
        <v>9.8</v>
      </c>
    </row>
    <row r="674" spans="1:22">
      <c r="A674" s="137" t="s">
        <v>1214</v>
      </c>
      <c r="B674" s="59">
        <f>+B673+1</f>
        <v>666</v>
      </c>
      <c r="C674" s="102">
        <v>22.7</v>
      </c>
      <c r="D674" s="92" t="str">
        <f>+A674</f>
        <v>IMMUNOGLOBULINS + SERUM ELECTROPHORESIS </v>
      </c>
      <c r="E674" s="139"/>
      <c r="T674" s="139" t="s">
        <v>1140</v>
      </c>
      <c r="U674" s="108" t="s">
        <v>1215</v>
      </c>
      <c r="V674" s="107">
        <v>6.4</v>
      </c>
    </row>
    <row r="675" spans="1:22">
      <c r="A675" s="137" t="s">
        <v>1216</v>
      </c>
      <c r="B675" s="59">
        <f>+B674+1</f>
        <v>667</v>
      </c>
      <c r="C675" s="102">
        <v>15</v>
      </c>
      <c r="D675" s="92" t="str">
        <f>+A675</f>
        <v>INSULIN ANTIBODIES (send away)</v>
      </c>
      <c r="E675" s="139"/>
      <c r="T675" s="139" t="s">
        <v>1141</v>
      </c>
      <c r="U675" s="108" t="s">
        <v>1217</v>
      </c>
      <c r="V675" s="107">
        <v>10.5</v>
      </c>
    </row>
    <row r="676" spans="1:22">
      <c r="A676" s="137" t="s">
        <v>829</v>
      </c>
      <c r="B676" s="59">
        <f>+B675+1</f>
        <v>668</v>
      </c>
      <c r="C676" s="102">
        <v>13.9</v>
      </c>
      <c r="D676" s="92" t="str">
        <f>+A676</f>
        <v>INTRINSIC FACTOR ASSAY</v>
      </c>
      <c r="E676" s="139"/>
      <c r="T676" s="139" t="s">
        <v>1218</v>
      </c>
      <c r="U676" s="108" t="s">
        <v>1219</v>
      </c>
      <c r="V676" s="107">
        <v>13.3</v>
      </c>
    </row>
    <row r="677" spans="1:22">
      <c r="A677" s="137" t="s">
        <v>1220</v>
      </c>
      <c r="B677" s="59">
        <f>+B676+1</f>
        <v>669</v>
      </c>
      <c r="C677" s="102">
        <v>11.9</v>
      </c>
      <c r="D677" s="92" t="str">
        <f>+A677</f>
        <v>ISLET CELL ANTIBODY </v>
      </c>
      <c r="E677" s="139"/>
      <c r="T677" s="139" t="s">
        <v>1221</v>
      </c>
      <c r="U677" s="108" t="s">
        <v>1222</v>
      </c>
      <c r="V677" s="107">
        <v>13.3</v>
      </c>
    </row>
    <row r="678" spans="1:22">
      <c r="A678" s="137" t="s">
        <v>1223</v>
      </c>
      <c r="B678" s="59">
        <f>+B677+1</f>
        <v>670</v>
      </c>
      <c r="C678" s="102">
        <v>12.5</v>
      </c>
      <c r="D678" s="92" t="str">
        <f>+A678</f>
        <v>COMPLEMENT C2</v>
      </c>
      <c r="E678" s="139"/>
      <c r="T678" s="139" t="s">
        <v>1142</v>
      </c>
      <c r="U678" s="108" t="s">
        <v>1224</v>
      </c>
      <c r="V678" s="107">
        <v>10.5</v>
      </c>
    </row>
    <row r="679" spans="1:22">
      <c r="A679" s="137" t="s">
        <v>1225</v>
      </c>
      <c r="B679" s="59">
        <f>+B678+1</f>
        <v>671</v>
      </c>
      <c r="C679" s="102">
        <v>17.6</v>
      </c>
      <c r="D679" s="92" t="str">
        <f>+A679</f>
        <v>ISOELECTRIC FOCUSING (CSF) </v>
      </c>
      <c r="E679" s="139"/>
      <c r="T679" s="139" t="s">
        <v>1143</v>
      </c>
      <c r="U679" s="108" t="s">
        <v>1226</v>
      </c>
      <c r="V679" s="107">
        <v>21.8</v>
      </c>
    </row>
    <row r="680" spans="1:22">
      <c r="A680" s="137" t="s">
        <v>1227</v>
      </c>
      <c r="B680" s="59">
        <f>+B679+1</f>
        <v>672</v>
      </c>
      <c r="C680" s="102">
        <v>17.6</v>
      </c>
      <c r="D680" s="92" t="str">
        <f>+A680</f>
        <v>ISOELECTRIC FOCUSING (SERUM OR URINE) </v>
      </c>
      <c r="E680" s="139"/>
      <c r="T680" s="139" t="s">
        <v>1144</v>
      </c>
      <c r="U680" s="108" t="s">
        <v>1228</v>
      </c>
      <c r="V680" s="107">
        <v>12.7</v>
      </c>
    </row>
    <row r="681" spans="1:22">
      <c r="A681" s="137" t="s">
        <v>1229</v>
      </c>
      <c r="B681" s="59">
        <f>+B680+1</f>
        <v>673</v>
      </c>
      <c r="C681" s="102">
        <v>10.6</v>
      </c>
      <c r="D681" s="92" t="str">
        <f>+A681</f>
        <v>KAPPA BJP</v>
      </c>
      <c r="E681" s="139"/>
      <c r="T681" s="139" t="s">
        <v>1230</v>
      </c>
      <c r="U681" s="108" t="s">
        <v>1231</v>
      </c>
      <c r="V681" s="107">
        <v>13.3</v>
      </c>
    </row>
    <row r="682" spans="1:22" ht="20">
      <c r="A682" s="137" t="s">
        <v>1232</v>
      </c>
      <c r="B682" s="59">
        <f>+B681+1</f>
        <v>674</v>
      </c>
      <c r="C682" s="102">
        <v>10.6</v>
      </c>
      <c r="D682" s="92" t="str">
        <f>+A682</f>
        <v>LAMDA BJP</v>
      </c>
      <c r="E682" s="142"/>
      <c r="T682" s="142" t="s">
        <v>1233</v>
      </c>
      <c r="U682" s="141" t="s">
        <v>1234</v>
      </c>
      <c r="V682" s="107">
        <v>17.7</v>
      </c>
    </row>
    <row r="683" spans="1:22">
      <c r="A683" s="137" t="s">
        <v>1235</v>
      </c>
      <c r="B683" s="59">
        <f>+B682+1</f>
        <v>675</v>
      </c>
      <c r="C683" s="102">
        <v>5.8</v>
      </c>
      <c r="D683" s="92" t="str">
        <f>+A683</f>
        <v>LIVER SCREEN</v>
      </c>
      <c r="E683" s="139"/>
      <c r="T683" s="139" t="s">
        <v>1236</v>
      </c>
      <c r="U683" s="108" t="s">
        <v>1237</v>
      </c>
      <c r="V683" s="107">
        <v>17.6</v>
      </c>
    </row>
    <row r="684" spans="1:22">
      <c r="A684" s="137" t="s">
        <v>1238</v>
      </c>
      <c r="B684" s="59">
        <f>+B683+1</f>
        <v>676</v>
      </c>
      <c r="C684" s="102">
        <v>10.5</v>
      </c>
      <c r="D684" s="92" t="str">
        <f>+A684</f>
        <v>M2 MITOCHONDRIAL ANTIBODY </v>
      </c>
      <c r="E684" s="139"/>
      <c r="T684" s="139" t="s">
        <v>1146</v>
      </c>
      <c r="U684" s="108" t="s">
        <v>1239</v>
      </c>
      <c r="V684" s="107">
        <v>19</v>
      </c>
    </row>
    <row r="685" spans="1:22">
      <c r="A685" s="137" t="s">
        <v>1240</v>
      </c>
      <c r="B685" s="59">
        <f>+B684+1</f>
        <v>677</v>
      </c>
      <c r="C685" s="102">
        <v>15</v>
      </c>
      <c r="D685" s="92" t="str">
        <f>+A685</f>
        <v>MPO ANTIBODIES</v>
      </c>
      <c r="E685" s="139"/>
      <c r="T685" s="139" t="s">
        <v>1241</v>
      </c>
      <c r="U685" s="108" t="s">
        <v>1242</v>
      </c>
      <c r="V685" s="107">
        <v>13.3</v>
      </c>
    </row>
    <row r="686" spans="1:22">
      <c r="A686" s="137" t="s">
        <v>1243</v>
      </c>
      <c r="B686" s="59">
        <f>+B685+1</f>
        <v>678</v>
      </c>
      <c r="C686" s="102">
        <v>15</v>
      </c>
      <c r="D686" s="92" t="str">
        <f>+A686</f>
        <v>MPO ANTIBODIES (NEW METHOD)</v>
      </c>
      <c r="E686" s="139"/>
      <c r="T686" s="139" t="s">
        <v>1244</v>
      </c>
      <c r="U686" s="108" t="s">
        <v>1245</v>
      </c>
      <c r="V686" s="107">
        <v>13.3</v>
      </c>
    </row>
    <row r="687" spans="1:22">
      <c r="A687" s="137" t="s">
        <v>1246</v>
      </c>
      <c r="B687" s="59">
        <f>+B686+1</f>
        <v>679</v>
      </c>
      <c r="C687" s="102">
        <v>25.8</v>
      </c>
      <c r="D687" s="92" t="str">
        <f>+A687</f>
        <v>NUCLEOSOMES</v>
      </c>
      <c r="E687" s="139"/>
      <c r="T687" s="139" t="s">
        <v>1053</v>
      </c>
      <c r="U687" s="108" t="s">
        <v>1247</v>
      </c>
      <c r="V687" s="107">
        <v>10.1</v>
      </c>
    </row>
    <row r="688" spans="1:22">
      <c r="A688" s="137" t="s">
        <v>1248</v>
      </c>
      <c r="B688" s="59">
        <f>+B687+1</f>
        <v>680</v>
      </c>
      <c r="C688" s="102">
        <v>12.5</v>
      </c>
      <c r="D688" s="92" t="str">
        <f>+A688</f>
        <v>OVARIAN ANTIBODY </v>
      </c>
      <c r="E688" s="139"/>
      <c r="T688" s="139" t="s">
        <v>1148</v>
      </c>
      <c r="U688" s="108" t="s">
        <v>1249</v>
      </c>
      <c r="V688" s="107">
        <v>12.8</v>
      </c>
    </row>
    <row r="689" spans="1:22">
      <c r="A689" s="137" t="s">
        <v>1250</v>
      </c>
      <c r="B689" s="59">
        <f>+B688+1</f>
        <v>681</v>
      </c>
      <c r="C689" s="102">
        <v>20.2</v>
      </c>
      <c r="D689" s="92" t="str">
        <f>+A689</f>
        <v>PARATHYROID ANTIBODY (sent away)</v>
      </c>
      <c r="E689" s="139"/>
      <c r="T689" s="139" t="s">
        <v>1149</v>
      </c>
      <c r="U689" s="108" t="s">
        <v>1251</v>
      </c>
      <c r="V689" s="107">
        <v>21.6</v>
      </c>
    </row>
    <row r="690" spans="1:22">
      <c r="A690" s="137" t="s">
        <v>1252</v>
      </c>
      <c r="B690" s="59">
        <f>+B689+1</f>
        <v>682</v>
      </c>
      <c r="C690" s="102">
        <v>11.4</v>
      </c>
      <c r="D690" s="92" t="str">
        <f>+A690</f>
        <v>PEMPHIGOID/PEMPHIGUS ANTIBODYSKIN </v>
      </c>
      <c r="E690" s="139"/>
      <c r="T690" s="139" t="s">
        <v>1253</v>
      </c>
      <c r="U690" s="108" t="s">
        <v>1254</v>
      </c>
      <c r="V690" s="107">
        <v>13.3</v>
      </c>
    </row>
    <row r="691" spans="1:22">
      <c r="A691" s="137" t="s">
        <v>1255</v>
      </c>
      <c r="B691" s="59">
        <f>+B690+1</f>
        <v>683</v>
      </c>
      <c r="C691" s="102">
        <v>20.1</v>
      </c>
      <c r="D691" s="92" t="str">
        <f>+A691</f>
        <v>PITUITARY ANTIBODY (sent away)</v>
      </c>
      <c r="E691" s="139"/>
      <c r="T691" s="139" t="s">
        <v>1256</v>
      </c>
      <c r="U691" s="108" t="s">
        <v>1257</v>
      </c>
      <c r="V691" s="107">
        <v>13.3</v>
      </c>
    </row>
    <row r="692" spans="1:22">
      <c r="A692" s="137" t="s">
        <v>1258</v>
      </c>
      <c r="B692" s="59">
        <f>+B691+1</f>
        <v>684</v>
      </c>
      <c r="C692" s="102">
        <v>10.6</v>
      </c>
      <c r="D692" s="92" t="str">
        <f>+A692</f>
        <v>PNEUMOCCOCCUS</v>
      </c>
      <c r="E692" s="139"/>
      <c r="T692" s="139" t="s">
        <v>1259</v>
      </c>
      <c r="U692" s="108" t="s">
        <v>1260</v>
      </c>
      <c r="V692" s="107">
        <v>13.3</v>
      </c>
    </row>
    <row r="693" spans="1:22">
      <c r="A693" s="137" t="s">
        <v>1261</v>
      </c>
      <c r="B693" s="59">
        <f>+B692+1</f>
        <v>685</v>
      </c>
      <c r="C693" s="102">
        <v>31.5</v>
      </c>
      <c r="D693" s="92" t="str">
        <f>+A693</f>
        <v>PREVNAR ASSAY</v>
      </c>
      <c r="E693" s="139"/>
      <c r="T693" s="139" t="s">
        <v>1262</v>
      </c>
      <c r="U693" s="108" t="s">
        <v>1263</v>
      </c>
      <c r="V693" s="107">
        <v>13.3</v>
      </c>
    </row>
    <row r="694" spans="1:22">
      <c r="A694" s="137" t="s">
        <v>1264</v>
      </c>
      <c r="B694" s="59">
        <f>+B693+1</f>
        <v>686</v>
      </c>
      <c r="C694" s="102">
        <v>15</v>
      </c>
      <c r="D694" s="92" t="str">
        <f>+A694</f>
        <v>PR3 ANTIBODIES</v>
      </c>
      <c r="E694" s="139"/>
      <c r="T694" s="139" t="s">
        <v>1265</v>
      </c>
      <c r="U694" s="108" t="s">
        <v>1266</v>
      </c>
      <c r="V694" s="107">
        <v>13.3</v>
      </c>
    </row>
    <row r="695" spans="1:22">
      <c r="A695" s="137" t="s">
        <v>1267</v>
      </c>
      <c r="B695" s="59">
        <f>+B694+1</f>
        <v>687</v>
      </c>
      <c r="C695" s="102">
        <v>15</v>
      </c>
      <c r="D695" s="92" t="str">
        <f>+A695</f>
        <v>PR3 ANTIBODIES (NEW METHOD)</v>
      </c>
      <c r="E695" s="139"/>
      <c r="T695" s="139" t="s">
        <v>1150</v>
      </c>
      <c r="U695" s="108" t="s">
        <v>1268</v>
      </c>
      <c r="V695" s="107">
        <v>8.9</v>
      </c>
    </row>
    <row r="696" spans="1:22">
      <c r="A696" s="137" t="s">
        <v>1269</v>
      </c>
      <c r="B696" s="59">
        <f>+B695+1</f>
        <v>688</v>
      </c>
      <c r="C696" s="102">
        <v>60</v>
      </c>
      <c r="D696" s="92" t="str">
        <f>+A696</f>
        <v>PARANEOPLASTIC ANTIBODY</v>
      </c>
      <c r="E696" s="139"/>
      <c r="T696" s="139" t="s">
        <v>1151</v>
      </c>
      <c r="U696" s="108" t="s">
        <v>1270</v>
      </c>
      <c r="V696" s="107">
        <v>20</v>
      </c>
    </row>
    <row r="697" spans="1:22">
      <c r="A697" s="137" t="s">
        <v>1271</v>
      </c>
      <c r="B697" s="59">
        <f>+B696+1</f>
        <v>689</v>
      </c>
      <c r="C697" s="102">
        <v>12.5</v>
      </c>
      <c r="D697" s="92" t="str">
        <f>+A697</f>
        <v>PURKINJE CELL ANTIBODY (CSF)</v>
      </c>
      <c r="E697" s="139"/>
      <c r="T697" s="139" t="s">
        <v>1152</v>
      </c>
      <c r="U697" s="108" t="s">
        <v>1272</v>
      </c>
      <c r="V697" s="107">
        <v>20</v>
      </c>
    </row>
    <row r="698" spans="1:22">
      <c r="A698" s="137" t="s">
        <v>1271</v>
      </c>
      <c r="B698" s="59">
        <f>+B697+1</f>
        <v>690</v>
      </c>
      <c r="C698" s="102">
        <v>12.5</v>
      </c>
      <c r="D698" s="92" t="str">
        <f>+A698</f>
        <v>PURKINJE CELL ANTIBODY (CSF)</v>
      </c>
      <c r="E698" s="139"/>
      <c r="T698" s="139" t="s">
        <v>1157</v>
      </c>
      <c r="U698" s="108" t="s">
        <v>1176</v>
      </c>
      <c r="V698" s="107">
        <v>5.6</v>
      </c>
    </row>
    <row r="699" spans="1:22">
      <c r="A699" s="137" t="s">
        <v>1273</v>
      </c>
      <c r="B699" s="59">
        <f>+B698+1</f>
        <v>691</v>
      </c>
      <c r="C699" s="102">
        <v>12.5</v>
      </c>
      <c r="D699" s="92" t="str">
        <f>+A699</f>
        <v>PURKINJE CELL ANTIBODY (SERUM)</v>
      </c>
      <c r="E699" s="139"/>
      <c r="T699" s="139" t="s">
        <v>1158</v>
      </c>
      <c r="U699" s="108" t="s">
        <v>1274</v>
      </c>
      <c r="V699" s="107">
        <v>15.1</v>
      </c>
    </row>
    <row r="700" spans="1:22">
      <c r="A700" s="137" t="s">
        <v>1273</v>
      </c>
      <c r="B700" s="59">
        <f>+B699+1</f>
        <v>692</v>
      </c>
      <c r="C700" s="102">
        <v>12.5</v>
      </c>
      <c r="D700" s="92" t="str">
        <f>+A700</f>
        <v>PURKINJE CELL ANTIBODY (SERUM)</v>
      </c>
      <c r="E700" s="139"/>
      <c r="T700" s="139" t="s">
        <v>1159</v>
      </c>
      <c r="U700" s="108" t="s">
        <v>1275</v>
      </c>
      <c r="V700" s="107">
        <v>5.6</v>
      </c>
    </row>
    <row r="701" spans="1:22">
      <c r="A701" s="137" t="s">
        <v>1276</v>
      </c>
      <c r="B701" s="59">
        <f>+B700+1</f>
        <v>693</v>
      </c>
      <c r="C701" s="102">
        <v>11.1</v>
      </c>
      <c r="D701" s="92" t="str">
        <f>+A701</f>
        <v>GLOMERULAR BASEMENT MEMBRANE QUANTITATIVE</v>
      </c>
      <c r="E701" s="139"/>
      <c r="T701" s="139" t="s">
        <v>1160</v>
      </c>
      <c r="U701" s="108" t="s">
        <v>1277</v>
      </c>
      <c r="V701" s="107">
        <v>28.7</v>
      </c>
    </row>
    <row r="702" spans="1:22">
      <c r="A702" s="137" t="s">
        <v>1278</v>
      </c>
      <c r="B702" s="59">
        <f>+B701+1</f>
        <v>694</v>
      </c>
      <c r="C702" s="102">
        <v>3.1</v>
      </c>
      <c r="D702" s="92" t="str">
        <f>+A702</f>
        <v>RHEUMATOID FACTOR SCREEN</v>
      </c>
      <c r="E702" s="139"/>
      <c r="T702" s="139" t="s">
        <v>1162</v>
      </c>
      <c r="U702" s="108" t="s">
        <v>1279</v>
      </c>
      <c r="V702" s="107">
        <v>5.6</v>
      </c>
    </row>
    <row r="703" spans="1:22">
      <c r="A703" s="137" t="s">
        <v>1280</v>
      </c>
      <c r="B703" s="59">
        <f>+B702+1</f>
        <v>695</v>
      </c>
      <c r="C703" s="102">
        <v>8.4</v>
      </c>
      <c r="D703" s="92" t="str">
        <f>+A703</f>
        <v>RHEUMATOID FACTOR TITRE</v>
      </c>
      <c r="E703" s="139"/>
      <c r="T703" s="139" t="s">
        <v>1163</v>
      </c>
      <c r="U703" s="108" t="s">
        <v>1281</v>
      </c>
      <c r="V703" s="107">
        <v>20.2</v>
      </c>
    </row>
    <row r="704" spans="1:22">
      <c r="A704" s="137" t="s">
        <v>1282</v>
      </c>
      <c r="B704" s="59">
        <f>+B703+1</f>
        <v>696</v>
      </c>
      <c r="C704" s="102">
        <v>17.4</v>
      </c>
      <c r="D704" s="92" t="str">
        <f>+A704</f>
        <v>RNP</v>
      </c>
      <c r="E704" s="139"/>
      <c r="T704" s="139" t="s">
        <v>1164</v>
      </c>
      <c r="U704" s="108" t="s">
        <v>1283</v>
      </c>
      <c r="V704" s="107">
        <v>11.8</v>
      </c>
    </row>
    <row r="705" spans="1:22">
      <c r="A705" s="137" t="s">
        <v>1284</v>
      </c>
      <c r="B705" s="59">
        <f>+B704+1</f>
        <v>697</v>
      </c>
      <c r="C705" s="102">
        <v>5.6</v>
      </c>
      <c r="D705" s="92" t="str">
        <f>+A705</f>
        <v>SALIVARY ALBUMIN</v>
      </c>
      <c r="E705" s="139"/>
      <c r="T705" s="139" t="s">
        <v>1285</v>
      </c>
      <c r="U705" s="108" t="s">
        <v>1286</v>
      </c>
      <c r="V705" s="107">
        <v>13.3</v>
      </c>
    </row>
    <row r="706" spans="1:22">
      <c r="A706" s="137" t="s">
        <v>1287</v>
      </c>
      <c r="B706" s="59">
        <f>+B705+1</f>
        <v>698</v>
      </c>
      <c r="C706" s="102">
        <v>12.5</v>
      </c>
      <c r="D706" s="92" t="str">
        <f>+A706</f>
        <v>SALIVARY GLAND ANTIBODY </v>
      </c>
      <c r="E706" s="139"/>
      <c r="T706" s="139" t="s">
        <v>1288</v>
      </c>
      <c r="U706" s="108" t="s">
        <v>1289</v>
      </c>
      <c r="V706" s="107">
        <v>13.3</v>
      </c>
    </row>
    <row r="707" spans="1:22">
      <c r="A707" s="137" t="s">
        <v>1290</v>
      </c>
      <c r="B707" s="59">
        <f>+B706+1</f>
        <v>699</v>
      </c>
      <c r="C707" s="102">
        <v>5.6</v>
      </c>
      <c r="D707" s="92" t="str">
        <f>+A707</f>
        <v>SALIVARY IGA</v>
      </c>
      <c r="E707" s="139"/>
      <c r="T707" s="139" t="s">
        <v>1291</v>
      </c>
      <c r="U707" s="108" t="s">
        <v>1292</v>
      </c>
      <c r="V707" s="107">
        <v>13.3</v>
      </c>
    </row>
    <row r="708" spans="1:22">
      <c r="A708" s="137" t="s">
        <v>1293</v>
      </c>
      <c r="B708" s="59">
        <f>+B707+1</f>
        <v>700</v>
      </c>
      <c r="C708" s="102">
        <v>0</v>
      </c>
      <c r="D708" s="92" t="str">
        <f>+A708</f>
        <v>SCANNED MONOCLONAL COMPONENT</v>
      </c>
      <c r="E708" s="139"/>
      <c r="T708" s="139" t="s">
        <v>1165</v>
      </c>
      <c r="U708" s="108" t="s">
        <v>1294</v>
      </c>
      <c r="V708" s="107">
        <v>21</v>
      </c>
    </row>
    <row r="709" spans="1:22">
      <c r="A709" s="137" t="s">
        <v>1295</v>
      </c>
      <c r="B709" s="59">
        <f>+B708+1</f>
        <v>701</v>
      </c>
      <c r="C709" s="102">
        <v>5.6</v>
      </c>
      <c r="D709" s="92" t="str">
        <f>+A709</f>
        <v>SERUM ALBUMIN </v>
      </c>
      <c r="E709" s="139"/>
      <c r="T709" s="139" t="s">
        <v>1166</v>
      </c>
      <c r="U709" s="108" t="s">
        <v>1296</v>
      </c>
      <c r="V709" s="107">
        <v>22.2</v>
      </c>
    </row>
    <row r="710" spans="1:22">
      <c r="A710" s="137" t="s">
        <v>1297</v>
      </c>
      <c r="B710" s="59">
        <f>+B709+1</f>
        <v>702</v>
      </c>
      <c r="C710" s="102">
        <v>19</v>
      </c>
      <c r="D710" s="92" t="str">
        <f>+A710</f>
        <v>SERUM ELECTROPHORESIS PART OF IGS </v>
      </c>
      <c r="E710" s="139"/>
      <c r="T710" s="139" t="s">
        <v>1167</v>
      </c>
      <c r="U710" s="108" t="s">
        <v>1298</v>
      </c>
      <c r="V710" s="107">
        <v>5.6</v>
      </c>
    </row>
    <row r="711" spans="1:22">
      <c r="A711" s="137" t="s">
        <v>1299</v>
      </c>
      <c r="B711" s="59">
        <f>+B710+1</f>
        <v>703</v>
      </c>
      <c r="C711" s="102">
        <v>5.1</v>
      </c>
      <c r="D711" s="92" t="str">
        <f>+A711</f>
        <v>SERUM HAPTOGLOBINS</v>
      </c>
      <c r="E711" s="139"/>
      <c r="T711" s="139" t="s">
        <v>1168</v>
      </c>
      <c r="U711" s="108" t="s">
        <v>1300</v>
      </c>
      <c r="V711" s="107">
        <v>9.5</v>
      </c>
    </row>
    <row r="712" spans="1:22">
      <c r="A712" s="137" t="s">
        <v>1301</v>
      </c>
      <c r="B712" s="59">
        <f>+B711+1</f>
        <v>704</v>
      </c>
      <c r="C712" s="102">
        <v>10.1</v>
      </c>
      <c r="D712" s="92" t="str">
        <f>+A712</f>
        <v>SKELETAL MUSCLE ANTIBODY</v>
      </c>
      <c r="E712" s="139"/>
      <c r="T712" s="139" t="s">
        <v>1169</v>
      </c>
      <c r="U712" s="108" t="s">
        <v>1302</v>
      </c>
      <c r="V712" s="107">
        <v>9.5</v>
      </c>
    </row>
    <row r="713" spans="1:22">
      <c r="A713" s="137" t="s">
        <v>1303</v>
      </c>
      <c r="B713" s="59">
        <f>+B712+1</f>
        <v>705</v>
      </c>
      <c r="C713" s="102">
        <v>17.4</v>
      </c>
      <c r="D713" s="92" t="str">
        <f>+A713</f>
        <v>SM</v>
      </c>
      <c r="E713" s="139"/>
      <c r="T713" s="139" t="s">
        <v>1170</v>
      </c>
      <c r="U713" s="108" t="s">
        <v>1304</v>
      </c>
      <c r="V713" s="107">
        <v>20.5</v>
      </c>
    </row>
    <row r="714" spans="1:22">
      <c r="A714" s="137" t="s">
        <v>1305</v>
      </c>
      <c r="B714" s="59">
        <f>+B713+1</f>
        <v>706</v>
      </c>
      <c r="C714" s="102">
        <v>17.4</v>
      </c>
      <c r="D714" s="92" t="str">
        <f>+A714</f>
        <v>SSA</v>
      </c>
      <c r="E714" s="139"/>
      <c r="T714" s="139" t="s">
        <v>1172</v>
      </c>
      <c r="U714" s="108" t="s">
        <v>1306</v>
      </c>
      <c r="V714" s="107">
        <v>11.9</v>
      </c>
    </row>
    <row r="715" spans="1:22" ht="16">
      <c r="A715" s="137" t="s">
        <v>1307</v>
      </c>
      <c r="B715" s="59">
        <f>+B714+1</f>
        <v>707</v>
      </c>
      <c r="C715" s="102">
        <v>17.4</v>
      </c>
      <c r="D715" s="92" t="str">
        <f>+A715</f>
        <v>SSB</v>
      </c>
      <c r="E715" s="143"/>
      <c r="T715" s="143" t="s">
        <v>1308</v>
      </c>
      <c r="U715" s="141" t="s">
        <v>1309</v>
      </c>
      <c r="V715" s="107">
        <v>17.7</v>
      </c>
    </row>
    <row r="716" spans="1:22">
      <c r="A716" s="137" t="s">
        <v>1310</v>
      </c>
      <c r="B716" s="59">
        <f>+B715+1</f>
        <v>708</v>
      </c>
      <c r="C716" s="102">
        <v>14.6</v>
      </c>
      <c r="D716" s="92" t="str">
        <f>+A716</f>
        <v>STEROID CELL ANTIBODIES </v>
      </c>
      <c r="E716" s="143"/>
      <c r="T716" s="143" t="s">
        <v>1311</v>
      </c>
      <c r="U716" s="141" t="s">
        <v>1312</v>
      </c>
      <c r="V716" s="107">
        <v>17.7</v>
      </c>
    </row>
    <row r="717" spans="1:22" ht="20">
      <c r="A717" s="137" t="s">
        <v>1313</v>
      </c>
      <c r="B717" s="59">
        <f>+B716+1</f>
        <v>709</v>
      </c>
      <c r="C717" s="102">
        <v>10.6</v>
      </c>
      <c r="D717" s="92" t="str">
        <f>+A717</f>
        <v>TETANUS IGG TOTAL</v>
      </c>
      <c r="E717" s="142"/>
      <c r="T717" s="142" t="s">
        <v>1314</v>
      </c>
      <c r="U717" s="141" t="s">
        <v>1315</v>
      </c>
      <c r="V717" s="107">
        <v>17.7</v>
      </c>
    </row>
    <row r="718" spans="1:22" ht="20">
      <c r="A718" s="137" t="s">
        <v>1316</v>
      </c>
      <c r="B718" s="59">
        <f>+B717+1</f>
        <v>710</v>
      </c>
      <c r="C718" s="102">
        <v>12.5</v>
      </c>
      <c r="D718" s="92" t="str">
        <f>+A718</f>
        <v>THYROID PEROXIDASE ANTIBODY</v>
      </c>
      <c r="E718" s="142"/>
      <c r="T718" s="142" t="s">
        <v>1317</v>
      </c>
      <c r="U718" s="141" t="s">
        <v>1318</v>
      </c>
      <c r="V718" s="107">
        <v>17.7</v>
      </c>
    </row>
    <row r="719" spans="1:22">
      <c r="A719" s="137" t="s">
        <v>1319</v>
      </c>
      <c r="B719" s="59">
        <f>+B718+1</f>
        <v>711</v>
      </c>
      <c r="C719" s="102">
        <v>6.7</v>
      </c>
      <c r="D719" s="92" t="str">
        <f>+A719</f>
        <v>TISSUE TRANSGLUTAMINASE IgA</v>
      </c>
      <c r="E719" s="142"/>
      <c r="T719" s="138" t="s">
        <v>1177</v>
      </c>
      <c r="U719" s="108" t="s">
        <v>1320</v>
      </c>
      <c r="V719" s="107">
        <v>31.5</v>
      </c>
    </row>
    <row r="720" spans="1:22">
      <c r="A720" s="137" t="s">
        <v>1321</v>
      </c>
      <c r="B720" s="59">
        <f>+B719+1</f>
        <v>712</v>
      </c>
      <c r="C720" s="102">
        <v>10.1</v>
      </c>
      <c r="D720" s="92" t="str">
        <f>+A720</f>
        <v>TISSUE TRANSGLUTAMINASE IgG</v>
      </c>
      <c r="E720" s="139"/>
      <c r="T720" s="139" t="s">
        <v>1322</v>
      </c>
      <c r="U720" s="108" t="s">
        <v>1323</v>
      </c>
      <c r="V720" s="107">
        <v>19</v>
      </c>
    </row>
    <row r="721" spans="1:22">
      <c r="A721" s="137" t="s">
        <v>1324</v>
      </c>
      <c r="B721" s="59">
        <f>+B720+1</f>
        <v>713</v>
      </c>
      <c r="C721" s="102">
        <v>20</v>
      </c>
      <c r="D721" s="92" t="str">
        <f>+A721</f>
        <v>TRYPTASE </v>
      </c>
      <c r="E721" s="139"/>
      <c r="T721" s="139" t="s">
        <v>1179</v>
      </c>
      <c r="U721" s="108" t="s">
        <v>1325</v>
      </c>
      <c r="V721" s="107">
        <v>5.8</v>
      </c>
    </row>
    <row r="722" spans="1:22">
      <c r="A722" s="137" t="s">
        <v>1326</v>
      </c>
      <c r="B722" s="59">
        <f>+B721+1</f>
        <v>714</v>
      </c>
      <c r="C722" s="102">
        <v>7.7</v>
      </c>
      <c r="D722" s="92" t="str">
        <f>+A722</f>
        <v>UNLABELLED SAMPLE</v>
      </c>
      <c r="E722" s="138"/>
      <c r="T722" s="138" t="s">
        <v>1182</v>
      </c>
      <c r="U722" s="108" t="s">
        <v>1327</v>
      </c>
      <c r="V722" s="107">
        <v>14.6</v>
      </c>
    </row>
    <row r="723" spans="1:22">
      <c r="A723" s="137" t="s">
        <v>1328</v>
      </c>
      <c r="B723" s="59">
        <f>+B722+1</f>
        <v>715</v>
      </c>
      <c r="C723" s="102">
        <v>10.5</v>
      </c>
      <c r="D723" s="92" t="str">
        <f>+A723</f>
        <v>ELECTROPHORESIS URINE (BJP)</v>
      </c>
      <c r="E723" s="139"/>
      <c r="T723" s="139" t="s">
        <v>1329</v>
      </c>
      <c r="U723" s="108" t="s">
        <v>1330</v>
      </c>
      <c r="V723" s="107">
        <v>13.3</v>
      </c>
    </row>
    <row r="724" spans="1:22">
      <c r="A724" s="137" t="s">
        <v>1331</v>
      </c>
      <c r="B724" s="59">
        <f>+B723+1</f>
        <v>716</v>
      </c>
      <c r="C724" s="102">
        <v>20.2</v>
      </c>
      <c r="D724" s="92" t="str">
        <f>+A724</f>
        <v>IMMUNOELECTROPHORESIS  (URINE)</v>
      </c>
      <c r="E724" s="139"/>
      <c r="T724" s="139" t="s">
        <v>1332</v>
      </c>
      <c r="U724" s="108" t="s">
        <v>1333</v>
      </c>
      <c r="V724" s="107">
        <v>19</v>
      </c>
    </row>
    <row r="725" spans="1:22">
      <c r="A725" s="137" t="s">
        <v>1334</v>
      </c>
      <c r="B725" s="59">
        <f>+B724+1</f>
        <v>717</v>
      </c>
      <c r="C725" s="102">
        <v>17.6</v>
      </c>
      <c r="D725" s="92" t="str">
        <f>+A725</f>
        <v>ISOELECTRIC FOCUSING  (URINE)</v>
      </c>
      <c r="E725" s="139"/>
      <c r="T725" s="139" t="s">
        <v>1335</v>
      </c>
      <c r="U725" s="108" t="s">
        <v>1336</v>
      </c>
      <c r="V725" s="107">
        <v>17.7</v>
      </c>
    </row>
    <row r="726" spans="1:22">
      <c r="A726" s="137" t="s">
        <v>1337</v>
      </c>
      <c r="B726" s="59">
        <f>+B725+1</f>
        <v>718</v>
      </c>
      <c r="C726" s="102">
        <v>50</v>
      </c>
      <c r="D726" s="92" t="str">
        <f>+A726</f>
        <v>VOLTAGE GATED CALCIUM CHANNEL(SENDAWAY)</v>
      </c>
      <c r="E726" s="139"/>
      <c r="T726" s="139" t="s">
        <v>1185</v>
      </c>
      <c r="U726" s="108" t="s">
        <v>1338</v>
      </c>
      <c r="V726" s="107">
        <v>10.6</v>
      </c>
    </row>
    <row r="727" spans="1:22">
      <c r="A727" s="137" t="s">
        <v>1339</v>
      </c>
      <c r="B727" s="59">
        <f>+B726+1</f>
        <v>719</v>
      </c>
      <c r="C727" s="102">
        <v>50</v>
      </c>
      <c r="D727" s="92" t="str">
        <f>+A727</f>
        <v>VOLTAGE GATED POTASSIUM CHANNEL (send away)</v>
      </c>
      <c r="E727" s="139"/>
      <c r="T727" s="139" t="s">
        <v>1340</v>
      </c>
      <c r="U727" s="108" t="s">
        <v>1341</v>
      </c>
      <c r="V727" s="107">
        <v>13.3</v>
      </c>
    </row>
    <row r="728" spans="1:22">
      <c r="A728" s="137" t="s">
        <v>1125</v>
      </c>
      <c r="B728" s="59">
        <f>+B727+1</f>
        <v>720</v>
      </c>
      <c r="C728" s="102">
        <v>17.7</v>
      </c>
      <c r="D728" s="92" t="str">
        <f>+A728</f>
        <v>ALLERGEN SPECIFIC IgE PANEL (PER PANEL)</v>
      </c>
      <c r="E728" s="139"/>
      <c r="T728" s="139" t="s">
        <v>1187</v>
      </c>
      <c r="U728" s="108" t="s">
        <v>1187</v>
      </c>
      <c r="V728" s="107">
        <v>12.8</v>
      </c>
    </row>
    <row r="729" spans="1:22">
      <c r="A729" s="137" t="s">
        <v>1171</v>
      </c>
      <c r="B729" s="59">
        <f>+B728+1</f>
        <v>721</v>
      </c>
      <c r="C729" s="102">
        <v>13.3</v>
      </c>
      <c r="D729" s="92" t="str">
        <f>+A729</f>
        <v>ALLERGEN SPECIFIC IgE SINGLE (PER ALLERGEN)</v>
      </c>
      <c r="E729" s="139"/>
      <c r="T729" s="139" t="s">
        <v>1189</v>
      </c>
      <c r="U729" s="108" t="s">
        <v>1342</v>
      </c>
      <c r="V729" s="107">
        <v>20.5</v>
      </c>
    </row>
    <row r="730" spans="1:22">
      <c r="A730" s="137" t="s">
        <v>1173</v>
      </c>
      <c r="B730" s="59">
        <f>+B729+1</f>
        <v>722</v>
      </c>
      <c r="C730" s="102">
        <v>13.3</v>
      </c>
      <c r="D730" s="92" t="str">
        <f>+A730</f>
        <v>ALMOND </v>
      </c>
      <c r="E730" s="139"/>
      <c r="T730" s="139" t="s">
        <v>1343</v>
      </c>
      <c r="U730" s="108" t="s">
        <v>1344</v>
      </c>
      <c r="V730" s="107">
        <v>13.3</v>
      </c>
    </row>
    <row r="731" spans="1:22">
      <c r="A731" s="137" t="s">
        <v>1345</v>
      </c>
      <c r="B731" s="59">
        <f>+B730+1</f>
        <v>723</v>
      </c>
      <c r="C731" s="102">
        <v>13.3</v>
      </c>
      <c r="D731" s="92" t="str">
        <f>+A731</f>
        <v>AMOXICILLIN</v>
      </c>
      <c r="E731" s="139"/>
      <c r="T731" s="139" t="s">
        <v>1346</v>
      </c>
      <c r="U731" s="108" t="s">
        <v>1347</v>
      </c>
      <c r="V731" s="107">
        <v>13.3</v>
      </c>
    </row>
    <row r="732" spans="1:22">
      <c r="A732" s="137" t="s">
        <v>1348</v>
      </c>
      <c r="B732" s="59">
        <f>+B731+1</f>
        <v>724</v>
      </c>
      <c r="C732" s="102">
        <v>13.3</v>
      </c>
      <c r="D732" s="92" t="str">
        <f>+A732</f>
        <v>AMPICILLIN</v>
      </c>
      <c r="E732" s="139"/>
      <c r="T732" s="139" t="s">
        <v>1349</v>
      </c>
      <c r="U732" s="108" t="s">
        <v>1350</v>
      </c>
      <c r="V732" s="107">
        <v>13.3</v>
      </c>
    </row>
    <row r="733" spans="1:22">
      <c r="A733" s="137" t="s">
        <v>1180</v>
      </c>
      <c r="B733" s="59">
        <f>+B732+1</f>
        <v>725</v>
      </c>
      <c r="C733" s="102">
        <v>17.7</v>
      </c>
      <c r="D733" s="92" t="str">
        <f>+A733</f>
        <v>ANIMAL PANEL 1(CAT EPITHELIUM-HORSE DANDER-COW DANDER- DOG DANDER)   </v>
      </c>
      <c r="E733" s="139"/>
      <c r="T733" s="139" t="s">
        <v>1191</v>
      </c>
      <c r="U733" s="108" t="s">
        <v>1351</v>
      </c>
      <c r="V733" s="107">
        <v>10.1</v>
      </c>
    </row>
    <row r="734" spans="1:22">
      <c r="A734" s="137" t="s">
        <v>1200</v>
      </c>
      <c r="B734" s="59">
        <f>+B733+1</f>
        <v>726</v>
      </c>
      <c r="C734" s="102">
        <v>13.3</v>
      </c>
      <c r="D734" s="92" t="str">
        <f>+A734</f>
        <v>ASPERGILLUS FUMIGATUS </v>
      </c>
      <c r="E734" s="139"/>
      <c r="T734" s="139" t="s">
        <v>1193</v>
      </c>
      <c r="U734" s="108" t="s">
        <v>1352</v>
      </c>
      <c r="V734" s="107">
        <v>25.3</v>
      </c>
    </row>
    <row r="735" spans="1:22">
      <c r="A735" s="137" t="s">
        <v>1205</v>
      </c>
      <c r="B735" s="59">
        <f>+B734+1</f>
        <v>727</v>
      </c>
      <c r="C735" s="102">
        <v>13.3</v>
      </c>
      <c r="D735" s="92" t="str">
        <f>+A735</f>
        <v>AVACADO</v>
      </c>
      <c r="E735" s="139"/>
      <c r="T735" s="139" t="s">
        <v>1199</v>
      </c>
      <c r="U735" s="108" t="s">
        <v>1353</v>
      </c>
      <c r="V735" s="107">
        <v>37.8</v>
      </c>
    </row>
    <row r="736" spans="1:22">
      <c r="A736" s="137" t="s">
        <v>1210</v>
      </c>
      <c r="B736" s="59">
        <f>+B735+1</f>
        <v>728</v>
      </c>
      <c r="C736" s="102">
        <v>13.3</v>
      </c>
      <c r="D736" s="92" t="str">
        <f>+A736</f>
        <v>BANANA</v>
      </c>
      <c r="E736" s="139"/>
      <c r="T736" s="139" t="s">
        <v>1354</v>
      </c>
      <c r="U736" s="108" t="s">
        <v>1355</v>
      </c>
      <c r="V736" s="107">
        <v>37.8</v>
      </c>
    </row>
    <row r="737" spans="1:22">
      <c r="A737" s="137" t="s">
        <v>1218</v>
      </c>
      <c r="B737" s="59">
        <f>+B736+1</f>
        <v>729</v>
      </c>
      <c r="C737" s="102">
        <v>13.3</v>
      </c>
      <c r="D737" s="92" t="str">
        <f>+A737</f>
        <v>BIRCH POLLEN</v>
      </c>
      <c r="E737" s="139"/>
      <c r="T737" s="139" t="s">
        <v>1202</v>
      </c>
      <c r="U737" s="108" t="s">
        <v>1356</v>
      </c>
      <c r="V737" s="107">
        <v>5.6</v>
      </c>
    </row>
    <row r="738" spans="1:22">
      <c r="A738" s="137" t="s">
        <v>1221</v>
      </c>
      <c r="B738" s="59">
        <f>+B737+1</f>
        <v>730</v>
      </c>
      <c r="C738" s="102">
        <v>13.3</v>
      </c>
      <c r="D738" s="92" t="str">
        <f>+A738</f>
        <v>BRAZIL NUT </v>
      </c>
      <c r="E738" s="139"/>
      <c r="T738" s="139" t="s">
        <v>1204</v>
      </c>
      <c r="U738" s="108" t="s">
        <v>1357</v>
      </c>
      <c r="V738" s="107">
        <v>7</v>
      </c>
    </row>
    <row r="739" spans="1:22">
      <c r="A739" s="137" t="s">
        <v>1230</v>
      </c>
      <c r="B739" s="59">
        <f>+B738+1</f>
        <v>731</v>
      </c>
      <c r="C739" s="102">
        <v>13.3</v>
      </c>
      <c r="D739" s="92" t="str">
        <f>+A739</f>
        <v>CACAO</v>
      </c>
      <c r="E739" s="139"/>
      <c r="T739" s="139"/>
      <c r="U739" s="108"/>
      <c r="V739" s="107"/>
    </row>
    <row r="740" spans="1:22">
      <c r="A740" s="137" t="s">
        <v>1233</v>
      </c>
      <c r="B740" s="59">
        <f>+B739+1</f>
        <v>732</v>
      </c>
      <c r="C740" s="102">
        <v>17.7</v>
      </c>
      <c r="D740" s="92" t="str">
        <f>+A740</f>
        <v>CAGEBIRD FEATHER MIX (Budgie Canary Parakeet Parrot Finch)</v>
      </c>
      <c r="E740" s="139"/>
      <c r="T740" s="139" t="s">
        <v>1207</v>
      </c>
      <c r="U740" s="108" t="s">
        <v>1358</v>
      </c>
      <c r="V740" s="107">
        <v>5.6</v>
      </c>
    </row>
    <row r="741" spans="1:22">
      <c r="A741" s="137" t="s">
        <v>1241</v>
      </c>
      <c r="B741" s="59">
        <f>+B740+1</f>
        <v>733</v>
      </c>
      <c r="C741" s="102">
        <v>13.3</v>
      </c>
      <c r="D741" s="92" t="str">
        <f>+A741</f>
        <v>CASHEW NUT</v>
      </c>
      <c r="E741" s="139"/>
      <c r="T741" s="139" t="s">
        <v>1209</v>
      </c>
      <c r="U741" s="108" t="s">
        <v>1359</v>
      </c>
      <c r="V741" s="107">
        <v>5.6</v>
      </c>
    </row>
    <row r="742" spans="1:22">
      <c r="A742" s="137" t="s">
        <v>1244</v>
      </c>
      <c r="B742" s="59">
        <f>+B741+1</f>
        <v>734</v>
      </c>
      <c r="C742" s="102">
        <v>13.3</v>
      </c>
      <c r="D742" s="92" t="str">
        <f>+A742</f>
        <v>CAT EPITHELIUM </v>
      </c>
      <c r="E742" s="139"/>
      <c r="T742" s="139" t="s">
        <v>1212</v>
      </c>
      <c r="U742" s="108" t="s">
        <v>1360</v>
      </c>
      <c r="V742" s="107">
        <v>5.6</v>
      </c>
    </row>
    <row r="743" spans="1:22">
      <c r="A743" s="137" t="s">
        <v>1253</v>
      </c>
      <c r="B743" s="59">
        <f>+B742+1</f>
        <v>735</v>
      </c>
      <c r="C743" s="102">
        <v>13.3</v>
      </c>
      <c r="D743" s="92" t="str">
        <f>+A743</f>
        <v>CHEESE- CHEDDAR TYPE </v>
      </c>
      <c r="E743" s="138"/>
      <c r="T743" s="138" t="s">
        <v>1214</v>
      </c>
      <c r="U743" s="108" t="s">
        <v>1361</v>
      </c>
      <c r="V743" s="107">
        <v>22.7</v>
      </c>
    </row>
    <row r="744" spans="1:22">
      <c r="A744" s="137" t="s">
        <v>1256</v>
      </c>
      <c r="B744" s="59">
        <f>+B743+1</f>
        <v>736</v>
      </c>
      <c r="C744" s="102">
        <v>13.3</v>
      </c>
      <c r="D744" s="92" t="str">
        <f>+A744</f>
        <v>CHICKEN MEAT </v>
      </c>
      <c r="E744" s="139"/>
      <c r="T744" s="139" t="s">
        <v>1220</v>
      </c>
      <c r="U744" s="108" t="s">
        <v>1362</v>
      </c>
      <c r="V744" s="107">
        <v>11.9</v>
      </c>
    </row>
    <row r="745" spans="1:22">
      <c r="A745" s="137" t="s">
        <v>1259</v>
      </c>
      <c r="B745" s="59">
        <f>+B744+1</f>
        <v>737</v>
      </c>
      <c r="C745" s="102">
        <v>13.3</v>
      </c>
      <c r="D745" s="92" t="str">
        <f>+A745</f>
        <v>CHLORHEXIDINE</v>
      </c>
      <c r="E745" s="139"/>
      <c r="T745" s="139" t="s">
        <v>1225</v>
      </c>
      <c r="U745" s="108" t="s">
        <v>1363</v>
      </c>
      <c r="V745" s="107">
        <v>17.6</v>
      </c>
    </row>
    <row r="746" spans="1:22">
      <c r="A746" s="137" t="s">
        <v>1262</v>
      </c>
      <c r="B746" s="59">
        <f>+B745+1</f>
        <v>738</v>
      </c>
      <c r="C746" s="102">
        <v>13.3</v>
      </c>
      <c r="D746" s="92" t="str">
        <f>+A746</f>
        <v>COCONUT</v>
      </c>
      <c r="E746" s="139"/>
      <c r="T746" s="139" t="s">
        <v>1227</v>
      </c>
      <c r="U746" s="108" t="s">
        <v>1364</v>
      </c>
      <c r="V746" s="107">
        <v>17.6</v>
      </c>
    </row>
    <row r="747" spans="1:22">
      <c r="A747" s="137" t="s">
        <v>1265</v>
      </c>
      <c r="B747" s="59">
        <f>+B746+1</f>
        <v>739</v>
      </c>
      <c r="C747" s="102">
        <v>13.3</v>
      </c>
      <c r="D747" s="92" t="str">
        <f>+A747</f>
        <v>CODFISH </v>
      </c>
      <c r="E747" s="139"/>
      <c r="T747" s="139" t="s">
        <v>1229</v>
      </c>
      <c r="U747" s="108" t="s">
        <v>1365</v>
      </c>
      <c r="V747" s="107">
        <v>10.6</v>
      </c>
    </row>
    <row r="748" spans="1:22">
      <c r="A748" s="137" t="s">
        <v>1285</v>
      </c>
      <c r="B748" s="59">
        <f>+B747+1</f>
        <v>740</v>
      </c>
      <c r="C748" s="102">
        <v>13.3</v>
      </c>
      <c r="D748" s="92" t="str">
        <f>+A748</f>
        <v>DOG DANDER </v>
      </c>
      <c r="E748" s="139"/>
      <c r="T748" s="139" t="s">
        <v>1366</v>
      </c>
      <c r="U748" s="108" t="s">
        <v>1367</v>
      </c>
      <c r="V748" s="107">
        <v>13.3</v>
      </c>
    </row>
    <row r="749" spans="1:22">
      <c r="A749" s="137" t="s">
        <v>1288</v>
      </c>
      <c r="B749" s="59">
        <f>+B748+1</f>
        <v>741</v>
      </c>
      <c r="C749" s="102">
        <v>13.3</v>
      </c>
      <c r="D749" s="92" t="str">
        <f>+A749</f>
        <v>EGG WHITE </v>
      </c>
      <c r="E749" s="139"/>
      <c r="T749" s="139" t="s">
        <v>1232</v>
      </c>
      <c r="U749" s="108" t="s">
        <v>1368</v>
      </c>
      <c r="V749" s="107">
        <v>10.6</v>
      </c>
    </row>
    <row r="750" spans="1:22">
      <c r="A750" s="137" t="s">
        <v>1291</v>
      </c>
      <c r="B750" s="59">
        <f>+B749+1</f>
        <v>742</v>
      </c>
      <c r="C750" s="102">
        <v>13.3</v>
      </c>
      <c r="D750" s="92" t="str">
        <f>+A750</f>
        <v>EGG YOLK </v>
      </c>
      <c r="E750" s="139"/>
      <c r="T750" s="139" t="s">
        <v>1369</v>
      </c>
      <c r="U750" s="108" t="s">
        <v>1370</v>
      </c>
      <c r="V750" s="107">
        <v>13.3</v>
      </c>
    </row>
    <row r="751" spans="1:22">
      <c r="A751" s="137" t="s">
        <v>1371</v>
      </c>
      <c r="B751" s="59">
        <f>+B750+1</f>
        <v>743</v>
      </c>
      <c r="C751" s="102">
        <v>13.3</v>
      </c>
      <c r="D751" s="92" t="str">
        <f>+A751</f>
        <v>EGG (WHOLE)</v>
      </c>
      <c r="E751" s="139"/>
      <c r="T751" s="139" t="s">
        <v>1372</v>
      </c>
      <c r="U751" s="108" t="s">
        <v>1373</v>
      </c>
      <c r="V751" s="107">
        <v>13.3</v>
      </c>
    </row>
    <row r="752" spans="1:22">
      <c r="A752" s="137" t="s">
        <v>1308</v>
      </c>
      <c r="B752" s="59">
        <f>+B751+1</f>
        <v>744</v>
      </c>
      <c r="C752" s="102">
        <v>17.7</v>
      </c>
      <c r="D752" s="92" t="str">
        <f>+A752</f>
        <v>FOOD PANEL 1(PEANUT-HAZELNUT-BRAZIL NUT-ALMOND-COCONUT) </v>
      </c>
      <c r="E752" s="139"/>
      <c r="T752" s="139" t="s">
        <v>1235</v>
      </c>
      <c r="U752" s="108" t="s">
        <v>1374</v>
      </c>
      <c r="V752" s="107">
        <v>5.8</v>
      </c>
    </row>
    <row r="753" spans="1:22">
      <c r="A753" s="137" t="s">
        <v>1311</v>
      </c>
      <c r="B753" s="59">
        <f>+B752+1</f>
        <v>745</v>
      </c>
      <c r="C753" s="102">
        <v>17.7</v>
      </c>
      <c r="D753" s="92" t="str">
        <f>+A753</f>
        <v>FOOD PANEL 3(WHEAT-OAT-CORN-SESAME SEED-BUCKWHEAT) </v>
      </c>
      <c r="E753" s="139"/>
      <c r="T753" s="139" t="s">
        <v>1238</v>
      </c>
      <c r="U753" s="108" t="s">
        <v>1375</v>
      </c>
      <c r="V753" s="107">
        <v>10.5</v>
      </c>
    </row>
    <row r="754" spans="1:22">
      <c r="A754" s="137" t="s">
        <v>1314</v>
      </c>
      <c r="B754" s="59">
        <f>+B753+1</f>
        <v>746</v>
      </c>
      <c r="C754" s="102">
        <v>17.7</v>
      </c>
      <c r="D754" s="92" t="str">
        <f>+A754</f>
        <v>FOOD PANEL 5 (EGG WHITE-MILK-WHEAT-PEANUT-SOYABEAN) </v>
      </c>
      <c r="E754" s="139"/>
      <c r="T754" s="139" t="s">
        <v>1376</v>
      </c>
      <c r="U754" s="108" t="s">
        <v>1377</v>
      </c>
      <c r="V754" s="107">
        <v>13.3</v>
      </c>
    </row>
    <row r="755" spans="1:22" ht="24">
      <c r="A755" s="137" t="s">
        <v>1317</v>
      </c>
      <c r="B755" s="59">
        <f>+B754+1</f>
        <v>747</v>
      </c>
      <c r="C755" s="102">
        <v>17.7</v>
      </c>
      <c r="D755" s="92" t="str">
        <f>+A755</f>
        <v>FOOD PANEL2(CODFISH-SHRIMP-BLUE MUSSEL-TUNA-SALMON) </v>
      </c>
      <c r="E755" s="143"/>
      <c r="T755" s="143" t="s">
        <v>1378</v>
      </c>
      <c r="U755" s="108" t="s">
        <v>1379</v>
      </c>
      <c r="V755" s="107">
        <v>17.7</v>
      </c>
    </row>
    <row r="756" spans="1:22">
      <c r="A756" s="137" t="s">
        <v>1380</v>
      </c>
      <c r="B756" s="59">
        <f>+B755+1</f>
        <v>748</v>
      </c>
      <c r="C756" s="102">
        <v>13.3</v>
      </c>
      <c r="D756" s="92" t="str">
        <f>+A756</f>
        <v>OAT</v>
      </c>
      <c r="E756" s="139"/>
      <c r="T756" s="139" t="s">
        <v>1240</v>
      </c>
      <c r="U756" s="108" t="s">
        <v>1381</v>
      </c>
      <c r="V756" s="107">
        <v>15</v>
      </c>
    </row>
    <row r="757" spans="1:22">
      <c r="A757" s="137" t="s">
        <v>1382</v>
      </c>
      <c r="B757" s="59">
        <f>+B756+1</f>
        <v>749</v>
      </c>
      <c r="C757" s="102">
        <v>30</v>
      </c>
      <c r="D757" s="92" t="str">
        <f>+A757</f>
        <v>OVOMUCOID</v>
      </c>
      <c r="E757" s="139"/>
      <c r="T757" s="139" t="s">
        <v>1383</v>
      </c>
      <c r="U757" s="108" t="s">
        <v>1384</v>
      </c>
      <c r="V757" s="107">
        <v>37.8</v>
      </c>
    </row>
    <row r="758" spans="1:22">
      <c r="A758" s="137" t="s">
        <v>1385</v>
      </c>
      <c r="B758" s="59">
        <f>+B757+1</f>
        <v>750</v>
      </c>
      <c r="C758" s="102">
        <v>30</v>
      </c>
      <c r="D758" s="92" t="str">
        <f>+A758</f>
        <v>rArah2</v>
      </c>
      <c r="E758" s="139"/>
      <c r="T758" s="139" t="s">
        <v>1386</v>
      </c>
      <c r="U758" s="108" t="s">
        <v>1387</v>
      </c>
      <c r="V758" s="107">
        <v>37.8</v>
      </c>
    </row>
    <row r="759" spans="1:22">
      <c r="A759" s="137" t="s">
        <v>1388</v>
      </c>
      <c r="B759" s="59">
        <f>+B758+1</f>
        <v>751</v>
      </c>
      <c r="C759" s="102">
        <v>30</v>
      </c>
      <c r="D759" s="92" t="str">
        <f>+A759</f>
        <v>rArah8</v>
      </c>
      <c r="E759" s="139"/>
      <c r="T759" s="139" t="s">
        <v>1389</v>
      </c>
      <c r="U759" s="108" t="s">
        <v>1390</v>
      </c>
      <c r="V759" s="107">
        <v>13.3</v>
      </c>
    </row>
    <row r="760" spans="1:22">
      <c r="A760" s="137" t="s">
        <v>1391</v>
      </c>
      <c r="B760" s="59">
        <f>+B759+1</f>
        <v>752</v>
      </c>
      <c r="C760" s="102">
        <v>30</v>
      </c>
      <c r="D760" s="92" t="str">
        <f>+A760</f>
        <v>rCora8</v>
      </c>
      <c r="E760" s="139"/>
      <c r="T760" s="138" t="s">
        <v>1246</v>
      </c>
      <c r="U760" s="108" t="s">
        <v>1392</v>
      </c>
      <c r="V760" s="107">
        <v>25.8</v>
      </c>
    </row>
    <row r="761" spans="1:22">
      <c r="A761" s="137" t="s">
        <v>1393</v>
      </c>
      <c r="B761" s="59">
        <f>+B760+1</f>
        <v>753</v>
      </c>
      <c r="C761" s="102">
        <v>13.3</v>
      </c>
      <c r="D761" s="92" t="str">
        <f>+A761</f>
        <v>GELOFUSIN</v>
      </c>
      <c r="E761" s="139"/>
      <c r="T761" s="139" t="s">
        <v>1248</v>
      </c>
      <c r="U761" s="108" t="s">
        <v>1394</v>
      </c>
      <c r="V761" s="107">
        <v>12.5</v>
      </c>
    </row>
    <row r="762" spans="1:22">
      <c r="A762" s="137" t="s">
        <v>1329</v>
      </c>
      <c r="B762" s="59">
        <f>+B761+1</f>
        <v>754</v>
      </c>
      <c r="C762" s="102">
        <v>13.3</v>
      </c>
      <c r="D762" s="92" t="str">
        <f>+A762</f>
        <v>GLUTEN </v>
      </c>
      <c r="E762" s="139"/>
      <c r="T762" s="139" t="s">
        <v>1250</v>
      </c>
      <c r="U762" s="108" t="s">
        <v>1395</v>
      </c>
      <c r="V762" s="107">
        <v>20.2</v>
      </c>
    </row>
    <row r="763" spans="1:22">
      <c r="A763" s="137" t="s">
        <v>1335</v>
      </c>
      <c r="B763" s="59">
        <f>+B762+1</f>
        <v>755</v>
      </c>
      <c r="C763" s="102">
        <v>17.7</v>
      </c>
      <c r="D763" s="92" t="str">
        <f>+A763</f>
        <v>GRASS POLLEN MIX</v>
      </c>
      <c r="E763" s="139"/>
      <c r="T763" s="139" t="s">
        <v>1396</v>
      </c>
      <c r="U763" s="108" t="s">
        <v>1397</v>
      </c>
      <c r="V763" s="107">
        <v>13.3</v>
      </c>
    </row>
    <row r="764" spans="1:22">
      <c r="A764" s="137" t="s">
        <v>1340</v>
      </c>
      <c r="B764" s="59">
        <f>+B763+1</f>
        <v>756</v>
      </c>
      <c r="C764" s="102">
        <v>13.3</v>
      </c>
      <c r="D764" s="92" t="str">
        <f>+A764</f>
        <v>HAZELNUT </v>
      </c>
      <c r="E764" s="139"/>
      <c r="T764" s="139" t="s">
        <v>1398</v>
      </c>
      <c r="U764" s="108" t="s">
        <v>1399</v>
      </c>
      <c r="V764" s="107">
        <v>13.3</v>
      </c>
    </row>
    <row r="765" spans="1:22">
      <c r="A765" s="137" t="s">
        <v>1343</v>
      </c>
      <c r="B765" s="59">
        <f>+B764+1</f>
        <v>757</v>
      </c>
      <c r="C765" s="102">
        <v>13.3</v>
      </c>
      <c r="D765" s="92" t="str">
        <f>+A765</f>
        <v>HONEY BEE VENOM </v>
      </c>
      <c r="E765" s="139"/>
      <c r="T765" s="139" t="s">
        <v>1252</v>
      </c>
      <c r="U765" s="108" t="s">
        <v>1400</v>
      </c>
      <c r="V765" s="107">
        <v>11.4</v>
      </c>
    </row>
    <row r="766" spans="1:22">
      <c r="A766" s="137" t="s">
        <v>1346</v>
      </c>
      <c r="B766" s="59">
        <f>+B765+1</f>
        <v>758</v>
      </c>
      <c r="C766" s="102">
        <v>13.3</v>
      </c>
      <c r="D766" s="92" t="str">
        <f>+A766</f>
        <v>HORSE DANDER </v>
      </c>
      <c r="E766" s="139"/>
      <c r="T766" s="139" t="s">
        <v>1401</v>
      </c>
      <c r="U766" s="108" t="s">
        <v>1402</v>
      </c>
      <c r="V766" s="107">
        <v>13.3</v>
      </c>
    </row>
    <row r="767" spans="1:22">
      <c r="A767" s="137" t="s">
        <v>1349</v>
      </c>
      <c r="B767" s="59">
        <f>+B766+1</f>
        <v>759</v>
      </c>
      <c r="C767" s="102">
        <v>13.3</v>
      </c>
      <c r="D767" s="92" t="str">
        <f>+A767</f>
        <v>HOUSE DUST MITE </v>
      </c>
      <c r="E767" s="139"/>
      <c r="T767" s="139" t="s">
        <v>1403</v>
      </c>
      <c r="U767" s="108" t="s">
        <v>1404</v>
      </c>
      <c r="V767" s="107">
        <v>13.3</v>
      </c>
    </row>
    <row r="768" spans="1:22">
      <c r="A768" s="137" t="s">
        <v>1366</v>
      </c>
      <c r="B768" s="59">
        <f>+B767+1</f>
        <v>760</v>
      </c>
      <c r="C768" s="102">
        <v>13.3</v>
      </c>
      <c r="D768" s="92" t="str">
        <f>+A768</f>
        <v>KIWI FRUIT</v>
      </c>
      <c r="E768" s="139"/>
      <c r="T768" s="139" t="s">
        <v>1405</v>
      </c>
      <c r="U768" s="108" t="s">
        <v>1406</v>
      </c>
      <c r="V768" s="107">
        <v>13.3</v>
      </c>
    </row>
    <row r="769" spans="1:22">
      <c r="A769" s="137" t="s">
        <v>1369</v>
      </c>
      <c r="B769" s="59">
        <f>+B768+1</f>
        <v>761</v>
      </c>
      <c r="C769" s="102">
        <v>13.3</v>
      </c>
      <c r="D769" s="92" t="str">
        <f>+A769</f>
        <v>LATEX ALLERGEN</v>
      </c>
      <c r="E769" s="139"/>
      <c r="T769" s="139" t="s">
        <v>1255</v>
      </c>
      <c r="U769" s="108" t="s">
        <v>1407</v>
      </c>
      <c r="V769" s="107">
        <v>20.1</v>
      </c>
    </row>
    <row r="770" spans="1:22">
      <c r="A770" s="137" t="s">
        <v>1372</v>
      </c>
      <c r="B770" s="59">
        <f>+B769+1</f>
        <v>762</v>
      </c>
      <c r="C770" s="102">
        <v>13.3</v>
      </c>
      <c r="D770" s="92" t="str">
        <f>+A770</f>
        <v>LEMON ALLERGEN</v>
      </c>
      <c r="E770" s="139"/>
      <c r="T770" s="139" t="s">
        <v>1258</v>
      </c>
      <c r="U770" s="108" t="s">
        <v>1408</v>
      </c>
      <c r="V770" s="107">
        <v>10.6</v>
      </c>
    </row>
    <row r="771" spans="1:22">
      <c r="A771" s="137" t="s">
        <v>1409</v>
      </c>
      <c r="B771" s="59">
        <f>+B770+1</f>
        <v>763</v>
      </c>
      <c r="C771" s="102">
        <v>30</v>
      </c>
      <c r="D771" s="92" t="str">
        <f>+A771</f>
        <v>LIPID TRANSFER PROTEIN (Pru-P3)</v>
      </c>
      <c r="E771" s="138"/>
      <c r="T771" s="138" t="s">
        <v>1410</v>
      </c>
      <c r="U771" s="108" t="s">
        <v>1411</v>
      </c>
      <c r="V771" s="107">
        <v>17.7</v>
      </c>
    </row>
    <row r="772" spans="1:22">
      <c r="A772" s="137" t="s">
        <v>1376</v>
      </c>
      <c r="B772" s="59">
        <f>+B771+1</f>
        <v>764</v>
      </c>
      <c r="C772" s="102">
        <v>13.3</v>
      </c>
      <c r="D772" s="92" t="str">
        <f>+A772</f>
        <v>MILK </v>
      </c>
      <c r="E772" s="139"/>
      <c r="T772" s="139" t="s">
        <v>1264</v>
      </c>
      <c r="U772" s="108" t="s">
        <v>1412</v>
      </c>
      <c r="V772" s="107">
        <v>15</v>
      </c>
    </row>
    <row r="773" spans="1:22">
      <c r="A773" s="137" t="s">
        <v>1378</v>
      </c>
      <c r="B773" s="59">
        <f>+B772+1</f>
        <v>765</v>
      </c>
      <c r="C773" s="102">
        <v>17.7</v>
      </c>
      <c r="D773" s="92" t="str">
        <f>+A773</f>
        <v>MOLD PANEL 1(PENICILLIUM NOTATUM-CLADOSPORIUM HERBARUM-ASPERGILLUS FUMIGATUS-CANDIDA ALBICANS-ALTERNARIA TENIUS) </v>
      </c>
      <c r="E773" s="139"/>
      <c r="T773" s="139" t="s">
        <v>1271</v>
      </c>
      <c r="U773" s="108" t="s">
        <v>1413</v>
      </c>
      <c r="V773" s="107">
        <v>12.5</v>
      </c>
    </row>
    <row r="774" spans="1:22">
      <c r="A774" s="137" t="s">
        <v>1414</v>
      </c>
      <c r="B774" s="59">
        <f>+B773+1</f>
        <v>766</v>
      </c>
      <c r="C774" s="102">
        <v>30</v>
      </c>
      <c r="D774" s="92" t="str">
        <f>+A774</f>
        <v>MORPHINE (QUATERNARY AMMONIUM)</v>
      </c>
      <c r="E774" s="139"/>
      <c r="T774" s="139" t="s">
        <v>1271</v>
      </c>
      <c r="U774" s="108" t="s">
        <v>1415</v>
      </c>
      <c r="V774" s="107">
        <v>12.5</v>
      </c>
    </row>
    <row r="775" spans="1:22">
      <c r="A775" s="137" t="s">
        <v>1389</v>
      </c>
      <c r="B775" s="59">
        <f>+B774+1</f>
        <v>767</v>
      </c>
      <c r="C775" s="102">
        <v>13.3</v>
      </c>
      <c r="D775" s="92" t="str">
        <f>+A775</f>
        <v>ORANGE</v>
      </c>
      <c r="E775" s="139"/>
      <c r="T775" s="139" t="s">
        <v>1273</v>
      </c>
      <c r="U775" s="108" t="s">
        <v>1416</v>
      </c>
      <c r="V775" s="107">
        <v>12.5</v>
      </c>
    </row>
    <row r="776" spans="1:22">
      <c r="A776" s="137" t="s">
        <v>1417</v>
      </c>
      <c r="B776" s="59">
        <f>+B775+1</f>
        <v>768</v>
      </c>
      <c r="C776" s="102">
        <v>30</v>
      </c>
      <c r="D776" s="92" t="str">
        <f>+A776</f>
        <v>OMEGA-5-GLIADIN</v>
      </c>
      <c r="E776" s="139"/>
      <c r="T776" s="139" t="s">
        <v>1273</v>
      </c>
      <c r="U776" s="108" t="s">
        <v>1418</v>
      </c>
      <c r="V776" s="107">
        <v>12.5</v>
      </c>
    </row>
    <row r="777" spans="1:22">
      <c r="A777" s="137" t="s">
        <v>1398</v>
      </c>
      <c r="B777" s="59">
        <f>+B776+1</f>
        <v>769</v>
      </c>
      <c r="C777" s="102">
        <v>13.3</v>
      </c>
      <c r="D777" s="92" t="str">
        <f>+A777</f>
        <v>PEANUT</v>
      </c>
      <c r="E777" s="138"/>
      <c r="T777" s="138" t="s">
        <v>1419</v>
      </c>
      <c r="U777" s="108" t="s">
        <v>1420</v>
      </c>
      <c r="V777" s="107">
        <v>11.1</v>
      </c>
    </row>
    <row r="778" spans="1:22">
      <c r="A778" s="137" t="s">
        <v>1396</v>
      </c>
      <c r="B778" s="59">
        <f>+B777+1</f>
        <v>770</v>
      </c>
      <c r="C778" s="102">
        <v>13.3</v>
      </c>
      <c r="D778" s="92" t="str">
        <f>+A778</f>
        <v>PECAN NUT</v>
      </c>
      <c r="E778" s="139"/>
      <c r="T778" s="139" t="s">
        <v>1278</v>
      </c>
      <c r="U778" s="108" t="s">
        <v>1421</v>
      </c>
      <c r="V778" s="107">
        <v>3.1</v>
      </c>
    </row>
    <row r="779" spans="1:22">
      <c r="A779" s="137" t="s">
        <v>1401</v>
      </c>
      <c r="B779" s="59">
        <f>+B778+1</f>
        <v>771</v>
      </c>
      <c r="C779" s="102">
        <v>13.3</v>
      </c>
      <c r="D779" s="92" t="str">
        <f>+A779</f>
        <v>PENICILLIN G </v>
      </c>
      <c r="E779" s="139"/>
      <c r="T779" s="139" t="s">
        <v>1280</v>
      </c>
      <c r="U779" s="108" t="s">
        <v>1422</v>
      </c>
      <c r="V779" s="107">
        <v>8.4</v>
      </c>
    </row>
    <row r="780" spans="1:22">
      <c r="A780" s="137" t="s">
        <v>1403</v>
      </c>
      <c r="B780" s="59">
        <f>+B779+1</f>
        <v>772</v>
      </c>
      <c r="C780" s="102">
        <v>13.3</v>
      </c>
      <c r="D780" s="92" t="str">
        <f>+A780</f>
        <v>PENICILLIN V </v>
      </c>
      <c r="E780" s="139"/>
      <c r="T780" s="139" t="s">
        <v>1282</v>
      </c>
      <c r="U780" s="108" t="s">
        <v>1282</v>
      </c>
      <c r="V780" s="107">
        <v>17.4</v>
      </c>
    </row>
    <row r="781" spans="1:22">
      <c r="A781" s="137" t="s">
        <v>1405</v>
      </c>
      <c r="B781" s="59">
        <f>+B780+1</f>
        <v>773</v>
      </c>
      <c r="C781" s="102">
        <v>13.3</v>
      </c>
      <c r="D781" s="92" t="str">
        <f>+A781</f>
        <v>PISTACHIO NUT</v>
      </c>
      <c r="E781" s="139"/>
      <c r="T781" s="139" t="s">
        <v>1290</v>
      </c>
      <c r="U781" s="108" t="s">
        <v>1423</v>
      </c>
      <c r="V781" s="107">
        <v>5.6</v>
      </c>
    </row>
    <row r="782" spans="1:22">
      <c r="A782" s="137" t="s">
        <v>1410</v>
      </c>
      <c r="B782" s="59">
        <f>+B781+1</f>
        <v>774</v>
      </c>
      <c r="C782" s="102">
        <v>17.7</v>
      </c>
      <c r="D782" s="92" t="str">
        <f>+A782</f>
        <v>POULTRY FEATHER MIX(Goose Chicken Duck Turkey)</v>
      </c>
      <c r="E782" s="139"/>
      <c r="T782" s="139" t="s">
        <v>1284</v>
      </c>
      <c r="U782" s="108" t="s">
        <v>1424</v>
      </c>
      <c r="V782" s="107">
        <v>5.6</v>
      </c>
    </row>
    <row r="783" spans="1:22">
      <c r="A783" s="137" t="s">
        <v>1425</v>
      </c>
      <c r="B783" s="59">
        <f>+B782+1</f>
        <v>775</v>
      </c>
      <c r="C783" s="102">
        <v>0</v>
      </c>
      <c r="D783" s="92" t="str">
        <f>+A783</f>
        <v>RAST COMMENT NO COST</v>
      </c>
      <c r="E783" s="139"/>
      <c r="T783" s="139" t="s">
        <v>1287</v>
      </c>
      <c r="U783" s="108" t="s">
        <v>1426</v>
      </c>
      <c r="V783" s="107">
        <v>12.5</v>
      </c>
    </row>
    <row r="784" spans="1:22">
      <c r="A784" s="137" t="s">
        <v>1427</v>
      </c>
      <c r="B784" s="59">
        <f>+B783+1</f>
        <v>776</v>
      </c>
      <c r="C784" s="102">
        <v>13.3</v>
      </c>
      <c r="D784" s="92" t="str">
        <f>+A784</f>
        <v>SALMON</v>
      </c>
      <c r="E784" s="139"/>
      <c r="T784" s="139" t="s">
        <v>1295</v>
      </c>
      <c r="U784" s="108" t="s">
        <v>1428</v>
      </c>
      <c r="V784" s="107">
        <v>5.6</v>
      </c>
    </row>
    <row r="785" spans="1:22">
      <c r="A785" s="137" t="s">
        <v>1429</v>
      </c>
      <c r="B785" s="59">
        <f>+B784+1</f>
        <v>777</v>
      </c>
      <c r="C785" s="102">
        <v>13.3</v>
      </c>
      <c r="D785" s="92" t="str">
        <f>+A785</f>
        <v>SESAME </v>
      </c>
      <c r="E785" s="139"/>
      <c r="T785" s="139" t="s">
        <v>1297</v>
      </c>
      <c r="U785" s="108" t="s">
        <v>1430</v>
      </c>
      <c r="V785" s="107">
        <v>19</v>
      </c>
    </row>
    <row r="786" spans="1:22">
      <c r="A786" s="137" t="s">
        <v>1431</v>
      </c>
      <c r="B786" s="59">
        <f>+B785+1</f>
        <v>778</v>
      </c>
      <c r="C786" s="102">
        <v>13.3</v>
      </c>
      <c r="D786" s="92" t="str">
        <f>+A786</f>
        <v>SHRIMP/PRAWN</v>
      </c>
      <c r="E786" s="139"/>
      <c r="T786" s="139" t="s">
        <v>1299</v>
      </c>
      <c r="U786" s="108" t="s">
        <v>1432</v>
      </c>
      <c r="V786" s="107">
        <v>5.1</v>
      </c>
    </row>
    <row r="787" spans="1:22">
      <c r="A787" s="137" t="s">
        <v>1433</v>
      </c>
      <c r="B787" s="59">
        <f>+B786+1</f>
        <v>779</v>
      </c>
      <c r="C787" s="102">
        <v>13.3</v>
      </c>
      <c r="D787" s="92" t="str">
        <f>+A787</f>
        <v>SOYBEAN </v>
      </c>
      <c r="E787" s="139"/>
      <c r="T787" s="139" t="s">
        <v>1429</v>
      </c>
      <c r="U787" s="108" t="s">
        <v>1434</v>
      </c>
      <c r="V787" s="107">
        <v>13.3</v>
      </c>
    </row>
    <row r="788" spans="1:22">
      <c r="A788" s="137" t="s">
        <v>1435</v>
      </c>
      <c r="B788" s="59">
        <f>+B787+1</f>
        <v>780</v>
      </c>
      <c r="C788" s="102">
        <v>13.3</v>
      </c>
      <c r="D788" s="92" t="str">
        <f>+A788</f>
        <v>STAPH ENTEROTOXIN B (SEB)</v>
      </c>
      <c r="E788" s="139"/>
      <c r="T788" s="139" t="s">
        <v>1301</v>
      </c>
      <c r="U788" s="108" t="s">
        <v>1436</v>
      </c>
      <c r="V788" s="107">
        <v>10.1</v>
      </c>
    </row>
    <row r="789" spans="1:22">
      <c r="A789" s="137" t="s">
        <v>1437</v>
      </c>
      <c r="B789" s="59">
        <f>+B788+1</f>
        <v>781</v>
      </c>
      <c r="C789" s="102">
        <v>13.3</v>
      </c>
      <c r="D789" s="92" t="str">
        <f>+A789</f>
        <v>STRAWBERRY</v>
      </c>
      <c r="E789" s="139"/>
      <c r="T789" s="139" t="s">
        <v>1303</v>
      </c>
      <c r="U789" s="108" t="s">
        <v>1303</v>
      </c>
      <c r="V789" s="107">
        <v>17.4</v>
      </c>
    </row>
    <row r="790" spans="1:22">
      <c r="A790" s="137" t="s">
        <v>1438</v>
      </c>
      <c r="B790" s="59">
        <f>+B789+1</f>
        <v>782</v>
      </c>
      <c r="C790" s="102">
        <v>13.3</v>
      </c>
      <c r="D790" s="92" t="str">
        <f>+A790</f>
        <v>SUXAMETHONIUM</v>
      </c>
      <c r="E790" s="139"/>
      <c r="T790" s="139" t="s">
        <v>1433</v>
      </c>
      <c r="U790" s="108" t="s">
        <v>1439</v>
      </c>
      <c r="V790" s="107">
        <v>13.3</v>
      </c>
    </row>
    <row r="791" spans="1:22">
      <c r="A791" s="137" t="s">
        <v>1440</v>
      </c>
      <c r="B791" s="59">
        <f>+B790+1</f>
        <v>783</v>
      </c>
      <c r="C791" s="102">
        <v>13.3</v>
      </c>
      <c r="D791" s="92" t="str">
        <f>+A791</f>
        <v>TIMOTHY GRASS POLLEN </v>
      </c>
      <c r="E791" s="139"/>
      <c r="T791" s="139" t="s">
        <v>1305</v>
      </c>
      <c r="U791" s="108" t="s">
        <v>1305</v>
      </c>
      <c r="V791" s="107">
        <v>17.4</v>
      </c>
    </row>
    <row r="792" spans="1:22">
      <c r="A792" s="137" t="s">
        <v>1441</v>
      </c>
      <c r="B792" s="59">
        <f>+B791+1</f>
        <v>784</v>
      </c>
      <c r="C792" s="102">
        <v>13.3</v>
      </c>
      <c r="D792" s="92" t="str">
        <f>+A792</f>
        <v>TOMATO</v>
      </c>
      <c r="E792" s="139"/>
      <c r="T792" s="139" t="s">
        <v>1307</v>
      </c>
      <c r="U792" s="108" t="s">
        <v>1307</v>
      </c>
      <c r="V792" s="107">
        <v>17.4</v>
      </c>
    </row>
    <row r="793" spans="1:22">
      <c r="A793" s="137" t="s">
        <v>1442</v>
      </c>
      <c r="B793" s="59">
        <f>+B792+1</f>
        <v>785</v>
      </c>
      <c r="C793" s="102">
        <v>17.7</v>
      </c>
      <c r="D793" s="92" t="str">
        <f>+A793</f>
        <v>TREE PANEL 6 (MAPLE-BOX ELDER-BIRCH-BEECH-OAK-WALNUT) </v>
      </c>
      <c r="E793" s="139"/>
      <c r="T793" s="139" t="s">
        <v>1310</v>
      </c>
      <c r="U793" s="108" t="s">
        <v>1443</v>
      </c>
      <c r="V793" s="107">
        <v>14.6</v>
      </c>
    </row>
    <row r="794" spans="1:22">
      <c r="A794" s="137" t="s">
        <v>1444</v>
      </c>
      <c r="B794" s="59">
        <f>+B793+1</f>
        <v>786</v>
      </c>
      <c r="C794" s="102">
        <v>13.3</v>
      </c>
      <c r="D794" s="92" t="str">
        <f>+A794</f>
        <v>WALNUT</v>
      </c>
      <c r="E794" s="139"/>
      <c r="T794" s="139" t="s">
        <v>1437</v>
      </c>
      <c r="U794" s="108" t="s">
        <v>1445</v>
      </c>
      <c r="V794" s="107">
        <v>13.3</v>
      </c>
    </row>
    <row r="795" spans="1:22">
      <c r="A795" s="137" t="s">
        <v>1446</v>
      </c>
      <c r="B795" s="59">
        <f>+B794+1</f>
        <v>787</v>
      </c>
      <c r="C795" s="102">
        <v>13.3</v>
      </c>
      <c r="D795" s="92" t="str">
        <f>+A795</f>
        <v>WHEAT </v>
      </c>
      <c r="E795" s="139"/>
      <c r="T795" s="139" t="s">
        <v>1313</v>
      </c>
      <c r="U795" s="108" t="s">
        <v>1447</v>
      </c>
      <c r="V795" s="107">
        <v>10.6</v>
      </c>
    </row>
    <row r="796" spans="1:22">
      <c r="A796" s="137" t="s">
        <v>1448</v>
      </c>
      <c r="B796" s="59">
        <f>+B795+1</f>
        <v>788</v>
      </c>
      <c r="C796" s="102">
        <v>13.3</v>
      </c>
      <c r="D796" s="92" t="str">
        <f>+A796</f>
        <v>YELLOW JACKET VENOM (WASP) </v>
      </c>
      <c r="E796" s="139"/>
      <c r="T796" s="139" t="s">
        <v>1316</v>
      </c>
      <c r="U796" s="108" t="s">
        <v>1449</v>
      </c>
      <c r="V796" s="107">
        <v>12.5</v>
      </c>
    </row>
    <row r="797" spans="1:22">
      <c r="A797" s="137" t="s">
        <v>1450</v>
      </c>
      <c r="B797" s="59">
        <f>+B796+1</f>
        <v>789</v>
      </c>
      <c r="C797" s="102">
        <v>1.8</v>
      </c>
      <c r="D797" s="92" t="str">
        <f>+A797</f>
        <v>ABSOLUTE CELL COUNTS</v>
      </c>
      <c r="E797" s="139"/>
      <c r="T797" s="139" t="s">
        <v>1440</v>
      </c>
      <c r="U797" s="108" t="s">
        <v>1451</v>
      </c>
      <c r="V797" s="107">
        <v>13.3</v>
      </c>
    </row>
    <row r="798" spans="1:22">
      <c r="A798" s="137" t="s">
        <v>1452</v>
      </c>
      <c r="B798" s="59">
        <f>+B797+1</f>
        <v>790</v>
      </c>
      <c r="C798" s="102">
        <v>30</v>
      </c>
      <c r="D798" s="92" t="str">
        <f>+A798</f>
        <v>ACUTE MYELOID</v>
      </c>
      <c r="E798" s="139"/>
      <c r="T798" s="139" t="s">
        <v>1319</v>
      </c>
      <c r="U798" s="108" t="s">
        <v>1453</v>
      </c>
      <c r="V798" s="107">
        <v>6.7</v>
      </c>
    </row>
    <row r="799" spans="1:22">
      <c r="A799" s="137" t="s">
        <v>1454</v>
      </c>
      <c r="B799" s="59">
        <f>+B798+1</f>
        <v>791</v>
      </c>
      <c r="C799" s="102">
        <v>66.2</v>
      </c>
      <c r="D799" s="92" t="str">
        <f>+A799</f>
        <v>CD40</v>
      </c>
      <c r="E799" s="139"/>
      <c r="T799" s="139" t="s">
        <v>1441</v>
      </c>
      <c r="U799" s="108" t="s">
        <v>1455</v>
      </c>
      <c r="V799" s="107">
        <v>13.3</v>
      </c>
    </row>
    <row r="800" spans="1:22">
      <c r="A800" s="137" t="s">
        <v>1456</v>
      </c>
      <c r="B800" s="59">
        <f>+B799+1</f>
        <v>792</v>
      </c>
      <c r="C800" s="102">
        <v>71.8</v>
      </c>
      <c r="D800" s="92" t="str">
        <f>+A800</f>
        <v>CD4T</v>
      </c>
      <c r="E800" s="143"/>
      <c r="T800" s="143" t="s">
        <v>1442</v>
      </c>
      <c r="U800" s="141" t="s">
        <v>1457</v>
      </c>
      <c r="V800" s="107">
        <v>17.7</v>
      </c>
    </row>
    <row r="801" spans="1:22">
      <c r="A801" s="137" t="s">
        <v>1458</v>
      </c>
      <c r="B801" s="59">
        <f>+B800+1</f>
        <v>793</v>
      </c>
      <c r="C801" s="102">
        <v>46.6</v>
      </c>
      <c r="D801" s="92" t="str">
        <f>+A801</f>
        <v>COMMON VARIABLE IMMUNODEFFICIENCY SCREEN</v>
      </c>
      <c r="E801" s="139"/>
      <c r="T801" s="139" t="s">
        <v>1324</v>
      </c>
      <c r="U801" s="108" t="s">
        <v>1459</v>
      </c>
      <c r="V801" s="107">
        <v>20</v>
      </c>
    </row>
    <row r="802" spans="1:22">
      <c r="A802" s="137" t="s">
        <v>1460</v>
      </c>
      <c r="B802" s="59">
        <f>+B801+1</f>
        <v>794</v>
      </c>
      <c r="C802" s="102">
        <v>67.6</v>
      </c>
      <c r="D802" s="92" t="str">
        <f>+A802</f>
        <v>IMMUNODEFICIENCY SCREEN NEW PATIENT </v>
      </c>
      <c r="E802" s="139"/>
      <c r="T802" s="139" t="s">
        <v>1326</v>
      </c>
      <c r="U802" s="108" t="s">
        <v>1461</v>
      </c>
      <c r="V802" s="107">
        <v>7.7</v>
      </c>
    </row>
    <row r="803" spans="1:22">
      <c r="A803" s="137" t="s">
        <v>1460</v>
      </c>
      <c r="B803" s="59">
        <f>+B802+1</f>
        <v>795</v>
      </c>
      <c r="C803" s="102">
        <v>67.6</v>
      </c>
      <c r="D803" s="92" t="str">
        <f>+A803</f>
        <v>IMMUNODEFICIENCY SCREEN NEW PATIENT </v>
      </c>
      <c r="E803" s="139"/>
      <c r="T803" s="139" t="s">
        <v>1462</v>
      </c>
      <c r="U803" s="108" t="s">
        <v>1463</v>
      </c>
      <c r="V803" s="107">
        <v>10.5</v>
      </c>
    </row>
    <row r="804" spans="1:22">
      <c r="A804" s="137" t="s">
        <v>1464</v>
      </c>
      <c r="B804" s="59">
        <f>+B803+1</f>
        <v>796</v>
      </c>
      <c r="C804" s="102">
        <v>47.9</v>
      </c>
      <c r="D804" s="92" t="str">
        <f>+A804</f>
        <v>NEUTOPHIL OXIDATIVE BURST </v>
      </c>
      <c r="E804" s="139"/>
      <c r="T804" s="139" t="s">
        <v>1465</v>
      </c>
      <c r="U804" s="108" t="s">
        <v>1466</v>
      </c>
      <c r="V804" s="107">
        <v>20.2</v>
      </c>
    </row>
    <row r="805" spans="1:22">
      <c r="A805" s="137" t="s">
        <v>1464</v>
      </c>
      <c r="B805" s="59">
        <f>+B804+1</f>
        <v>797</v>
      </c>
      <c r="C805" s="102">
        <v>47.9</v>
      </c>
      <c r="D805" s="92" t="str">
        <f>+A805</f>
        <v>NEUTOPHIL OXIDATIVE BURST </v>
      </c>
      <c r="E805" s="139"/>
      <c r="T805" s="139" t="s">
        <v>1467</v>
      </c>
      <c r="U805" s="108" t="s">
        <v>1468</v>
      </c>
      <c r="V805" s="107">
        <v>17.6</v>
      </c>
    </row>
    <row r="806" spans="1:22">
      <c r="A806" s="137" t="s">
        <v>1469</v>
      </c>
      <c r="B806" s="59">
        <f>+B805+1</f>
        <v>798</v>
      </c>
      <c r="C806" s="102">
        <v>7.7</v>
      </c>
      <c r="D806" s="92" t="str">
        <f>+A806</f>
        <v>HLA B27 - inappropriate sample</v>
      </c>
      <c r="E806" s="139"/>
      <c r="T806" s="139" t="s">
        <v>1444</v>
      </c>
      <c r="U806" s="108" t="s">
        <v>1470</v>
      </c>
      <c r="V806" s="107">
        <v>13.3</v>
      </c>
    </row>
    <row r="807" spans="1:22">
      <c r="A807" s="137" t="s">
        <v>1471</v>
      </c>
      <c r="B807" s="59">
        <f>+B806+1</f>
        <v>799</v>
      </c>
      <c r="C807" s="102">
        <v>42.2</v>
      </c>
      <c r="D807" s="92" t="str">
        <f>+A807</f>
        <v>T-CELL ACTIVATION</v>
      </c>
      <c r="E807" s="139"/>
      <c r="T807" s="139" t="s">
        <v>1446</v>
      </c>
      <c r="U807" s="108" t="s">
        <v>1472</v>
      </c>
      <c r="V807" s="107">
        <v>13.3</v>
      </c>
    </row>
    <row r="808" spans="1:22">
      <c r="A808" s="137" t="s">
        <v>1473</v>
      </c>
      <c r="B808" s="59">
        <f>+B807+1</f>
        <v>800</v>
      </c>
      <c r="C808" s="102">
        <v>148.5</v>
      </c>
      <c r="D808" s="92" t="str">
        <f>+A808</f>
        <v>LYMPHOCYTE PROLIFERATION (PHA)</v>
      </c>
      <c r="E808" s="139"/>
      <c r="T808" s="139" t="s">
        <v>1448</v>
      </c>
      <c r="U808" s="108" t="s">
        <v>1474</v>
      </c>
      <c r="V808" s="107">
        <v>13.3</v>
      </c>
    </row>
    <row r="809" spans="1:22">
      <c r="A809" s="137" t="s">
        <v>1475</v>
      </c>
      <c r="B809" s="59">
        <f>+B808+1</f>
        <v>801</v>
      </c>
      <c r="C809" s="102">
        <v>50</v>
      </c>
      <c r="D809" s="92" t="str">
        <f>+A809</f>
        <v>PAROXYMAL NOCTURNAL HAEMAGLOBINUREA SCREEN</v>
      </c>
      <c r="E809" s="139"/>
      <c r="T809" s="139" t="s">
        <v>1450</v>
      </c>
      <c r="U809" s="108" t="s">
        <v>1476</v>
      </c>
      <c r="V809" s="107">
        <v>1.8</v>
      </c>
    </row>
    <row r="810" spans="1:22">
      <c r="A810" s="137" t="s">
        <v>1477</v>
      </c>
      <c r="B810" s="59">
        <f>+B809+1</f>
        <v>802</v>
      </c>
      <c r="C810" s="102">
        <v>100.7</v>
      </c>
      <c r="D810" s="92" t="str">
        <f>+A810</f>
        <v>PRIMARY LEUKAEMIA/LYMPHOMA SCREEN</v>
      </c>
      <c r="E810" s="139"/>
      <c r="T810" s="139" t="s">
        <v>1452</v>
      </c>
      <c r="U810" s="108" t="s">
        <v>1478</v>
      </c>
      <c r="V810" s="107">
        <v>30</v>
      </c>
    </row>
    <row r="811" spans="1:22">
      <c r="A811" s="137" t="s">
        <v>1479</v>
      </c>
      <c r="B811" s="59">
        <f>+B810+1</f>
        <v>803</v>
      </c>
      <c r="C811" s="102">
        <v>113.5</v>
      </c>
      <c r="D811" s="92" t="str">
        <f>+A811</f>
        <v>MONITORING ALL </v>
      </c>
      <c r="E811" s="139"/>
      <c r="T811" s="139" t="s">
        <v>1345</v>
      </c>
      <c r="U811" s="108" t="s">
        <v>1480</v>
      </c>
      <c r="V811" s="107">
        <v>13.3</v>
      </c>
    </row>
    <row r="812" spans="1:22">
      <c r="A812" s="137" t="s">
        <v>1481</v>
      </c>
      <c r="B812" s="59">
        <f>+B811+1</f>
        <v>804</v>
      </c>
      <c r="C812" s="102">
        <v>149.5</v>
      </c>
      <c r="D812" s="92" t="str">
        <f>+A812</f>
        <v>MONITORING AML</v>
      </c>
      <c r="E812" s="139"/>
      <c r="T812" s="139" t="s">
        <v>1348</v>
      </c>
      <c r="U812" s="108" t="s">
        <v>1482</v>
      </c>
      <c r="V812" s="107">
        <v>13.3</v>
      </c>
    </row>
    <row r="813" spans="1:22">
      <c r="A813" s="137" t="s">
        <v>1483</v>
      </c>
      <c r="B813" s="59">
        <f>+B812+1</f>
        <v>805</v>
      </c>
      <c r="C813" s="102">
        <v>91.2</v>
      </c>
      <c r="D813" s="92" t="str">
        <f>+A813</f>
        <v>REDUCED ACUTE LEUKAEMIA SCREEN</v>
      </c>
      <c r="E813" s="139"/>
      <c r="T813" s="139" t="s">
        <v>1380</v>
      </c>
      <c r="U813" s="141" t="s">
        <v>1484</v>
      </c>
      <c r="V813" s="107">
        <v>13.3</v>
      </c>
    </row>
    <row r="814" spans="1:22">
      <c r="A814" s="137" t="s">
        <v>1485</v>
      </c>
      <c r="B814" s="59">
        <f>+B813+1</f>
        <v>806</v>
      </c>
      <c r="C814" s="102">
        <v>101.2</v>
      </c>
      <c r="D814" s="92" t="str">
        <f>+A814</f>
        <v>REDUCED TALL</v>
      </c>
      <c r="E814" s="139"/>
      <c r="T814" s="139" t="s">
        <v>1382</v>
      </c>
      <c r="U814" s="141" t="s">
        <v>1486</v>
      </c>
      <c r="V814" s="107">
        <v>17.7</v>
      </c>
    </row>
    <row r="815" spans="1:22">
      <c r="A815" s="137" t="s">
        <v>1487</v>
      </c>
      <c r="B815" s="59">
        <f>+B814+1</f>
        <v>807</v>
      </c>
      <c r="C815" s="102">
        <v>26.9</v>
      </c>
      <c r="D815" s="92" t="str">
        <f>+A815</f>
        <v>RITUXIMAB THERAPY</v>
      </c>
      <c r="E815" s="139"/>
      <c r="T815" s="139" t="s">
        <v>1385</v>
      </c>
      <c r="U815" s="141" t="s">
        <v>1488</v>
      </c>
      <c r="V815" s="107">
        <v>17.7</v>
      </c>
    </row>
    <row r="816" spans="1:22">
      <c r="A816" s="137" t="s">
        <v>1489</v>
      </c>
      <c r="B816" s="59">
        <f>+B815+1</f>
        <v>808</v>
      </c>
      <c r="C816" s="102">
        <v>172.9</v>
      </c>
      <c r="D816" s="92" t="str">
        <f>+A816</f>
        <v>SECONDARY B CELL LYMPHOMA SCREEN</v>
      </c>
      <c r="E816" s="139"/>
      <c r="T816" s="139" t="s">
        <v>1391</v>
      </c>
      <c r="U816" s="141" t="s">
        <v>1490</v>
      </c>
      <c r="V816" s="107">
        <v>17.7</v>
      </c>
    </row>
    <row r="817" spans="1:22">
      <c r="A817" s="137" t="s">
        <v>1491</v>
      </c>
      <c r="B817" s="59">
        <f>+B816+1</f>
        <v>809</v>
      </c>
      <c r="C817" s="102">
        <v>78.8</v>
      </c>
      <c r="D817" s="92" t="str">
        <f>+A817</f>
        <v>IMMUNE MONITORING</v>
      </c>
      <c r="E817" s="139"/>
      <c r="T817" s="139" t="s">
        <v>1393</v>
      </c>
      <c r="U817" s="108" t="s">
        <v>1492</v>
      </c>
      <c r="V817" s="107">
        <v>13.3</v>
      </c>
    </row>
    <row r="818" spans="1:22">
      <c r="A818" s="137" t="s">
        <v>1493</v>
      </c>
      <c r="B818" s="59">
        <f>+B817+1</f>
        <v>810</v>
      </c>
      <c r="C818" s="102">
        <v>25.3</v>
      </c>
      <c r="D818" s="92" t="str">
        <f>+A818</f>
        <v>TCR ALPHA BETA</v>
      </c>
      <c r="E818" s="139"/>
      <c r="T818" s="139" t="s">
        <v>1427</v>
      </c>
      <c r="U818" s="108" t="s">
        <v>1494</v>
      </c>
      <c r="V818" s="107">
        <v>13.3</v>
      </c>
    </row>
    <row r="819" spans="1:22">
      <c r="A819" s="137" t="s">
        <v>1495</v>
      </c>
      <c r="B819" s="59">
        <f>+B818+1</f>
        <v>811</v>
      </c>
      <c r="C819" s="102">
        <v>25.3</v>
      </c>
      <c r="D819" s="92" t="str">
        <f>+A819</f>
        <v>TCR GAMMA DELTA</v>
      </c>
      <c r="E819" s="139"/>
      <c r="T819" s="139" t="s">
        <v>1454</v>
      </c>
      <c r="U819" s="108" t="s">
        <v>1454</v>
      </c>
      <c r="V819" s="107">
        <v>66.2</v>
      </c>
    </row>
    <row r="820" spans="1:22">
      <c r="A820" s="137" t="s">
        <v>1496</v>
      </c>
      <c r="B820" s="59">
        <f>+B819+1</f>
        <v>812</v>
      </c>
      <c r="C820" s="102">
        <v>72.1</v>
      </c>
      <c r="D820" s="92" t="str">
        <f>+A820</f>
        <v>LYMPHOCYTE SUBSETS</v>
      </c>
      <c r="E820" s="139"/>
      <c r="T820" s="139" t="s">
        <v>1456</v>
      </c>
      <c r="U820" s="144" t="s">
        <v>1456</v>
      </c>
      <c r="V820" s="107">
        <v>71.8</v>
      </c>
    </row>
    <row r="821" spans="1:22">
      <c r="A821" s="137" t="s">
        <v>1497</v>
      </c>
      <c r="B821" s="59">
        <f>+B820+1</f>
        <v>813</v>
      </c>
      <c r="C821" s="102">
        <v>50.5</v>
      </c>
      <c r="D821" s="92" t="str">
        <f>+A821</f>
        <v>T-CELL RECEPTOR</v>
      </c>
      <c r="E821" s="139"/>
      <c r="T821" s="139" t="s">
        <v>1458</v>
      </c>
      <c r="U821" s="108" t="s">
        <v>1498</v>
      </c>
      <c r="V821" s="107">
        <v>46.6</v>
      </c>
    </row>
    <row r="822" spans="1:22">
      <c r="A822" s="137" t="s">
        <v>1499</v>
      </c>
      <c r="B822" s="59">
        <f>+B821+1</f>
        <v>814</v>
      </c>
      <c r="C822" s="102">
        <v>119.3</v>
      </c>
      <c r="D822" s="92" t="str">
        <f>+A822</f>
        <v>SECONDARY T SCREEN</v>
      </c>
      <c r="E822" s="139"/>
      <c r="T822" s="139" t="s">
        <v>1500</v>
      </c>
      <c r="U822" s="108" t="s">
        <v>1501</v>
      </c>
      <c r="V822" s="107">
        <v>30</v>
      </c>
    </row>
    <row r="823" spans="1:22">
      <c r="A823" s="137" t="s">
        <v>1502</v>
      </c>
      <c r="B823" s="59">
        <f>+B822+1</f>
        <v>815</v>
      </c>
      <c r="C823" s="102">
        <v>9.1</v>
      </c>
      <c r="D823" s="92" t="str">
        <f>+A823</f>
        <v>TDT</v>
      </c>
      <c r="E823" s="139"/>
      <c r="T823" s="139" t="s">
        <v>1460</v>
      </c>
      <c r="U823" s="108" t="s">
        <v>1503</v>
      </c>
      <c r="V823" s="107">
        <v>67.6</v>
      </c>
    </row>
    <row r="824" spans="1:22">
      <c r="A824" s="137" t="s">
        <v>1504</v>
      </c>
      <c r="B824" s="59">
        <f>+B823+1</f>
        <v>816</v>
      </c>
      <c r="C824" s="102">
        <v>27.6</v>
      </c>
      <c r="D824" s="92" t="str">
        <f>+A824</f>
        <v>T-CELL MEMORY SUBSETS</v>
      </c>
      <c r="E824" s="139"/>
      <c r="T824" s="139" t="s">
        <v>1464</v>
      </c>
      <c r="U824" s="108" t="s">
        <v>1505</v>
      </c>
      <c r="V824" s="107">
        <v>47.9</v>
      </c>
    </row>
    <row r="825" spans="1:22">
      <c r="A825" s="137" t="s">
        <v>1500</v>
      </c>
      <c r="B825" s="59">
        <f>+B824+1</f>
        <v>817</v>
      </c>
      <c r="C825" s="102">
        <v>33.6</v>
      </c>
      <c r="D825" s="92" t="str">
        <f>+A825</f>
        <v>HAIRY CELL LEUKAEMIA </v>
      </c>
      <c r="E825" s="139"/>
      <c r="T825" s="139" t="s">
        <v>1506</v>
      </c>
      <c r="U825" s="108" t="s">
        <v>1507</v>
      </c>
      <c r="V825" s="107">
        <v>48.5</v>
      </c>
    </row>
    <row r="826" spans="1:22">
      <c r="A826" s="137" t="s">
        <v>1506</v>
      </c>
      <c r="B826" s="59">
        <f>+B825+1</f>
        <v>818</v>
      </c>
      <c r="C826" s="102">
        <v>40</v>
      </c>
      <c r="D826" s="92" t="str">
        <f>+A826</f>
        <v>HLA B27 </v>
      </c>
      <c r="E826" s="139"/>
      <c r="T826" s="139" t="s">
        <v>1469</v>
      </c>
      <c r="U826" s="108" t="s">
        <v>1508</v>
      </c>
      <c r="V826" s="107">
        <v>7.7</v>
      </c>
    </row>
    <row r="827" spans="1:22">
      <c r="A827" s="137" t="s">
        <v>1509</v>
      </c>
      <c r="B827" s="59">
        <f>+B826+1</f>
        <v>819</v>
      </c>
      <c r="C827" s="102">
        <v>25</v>
      </c>
      <c r="D827" s="92" t="str">
        <f>+A827</f>
        <v>LEUKAEMIA SCREEN/ MONITORING PANEL-1</v>
      </c>
      <c r="E827" s="139"/>
      <c r="T827" s="139" t="s">
        <v>1471</v>
      </c>
      <c r="U827" s="108" t="s">
        <v>1510</v>
      </c>
      <c r="V827" s="107">
        <v>42.2</v>
      </c>
    </row>
    <row r="828" spans="1:22">
      <c r="A828" s="137" t="s">
        <v>1511</v>
      </c>
      <c r="B828" s="59">
        <f>+B827+1</f>
        <v>820</v>
      </c>
      <c r="C828" s="102">
        <v>25</v>
      </c>
      <c r="D828" s="92" t="str">
        <f>+A828</f>
        <v>LEUKAEMIA SCREEN/ MONITORING PANEL-10</v>
      </c>
      <c r="E828" s="139"/>
      <c r="T828" s="139" t="s">
        <v>1473</v>
      </c>
      <c r="U828" s="108" t="s">
        <v>1512</v>
      </c>
      <c r="V828" s="107">
        <v>148.5</v>
      </c>
    </row>
    <row r="829" spans="1:22">
      <c r="A829" s="137" t="s">
        <v>1513</v>
      </c>
      <c r="B829" s="59">
        <f>+B828+1</f>
        <v>821</v>
      </c>
      <c r="C829" s="102">
        <v>25</v>
      </c>
      <c r="D829" s="92" t="str">
        <f>+A829</f>
        <v>LEUKAEMIA SCREEN/ MONITORING PANEL-2</v>
      </c>
      <c r="E829" s="139"/>
      <c r="T829" s="139" t="s">
        <v>1475</v>
      </c>
      <c r="U829" s="108" t="s">
        <v>1514</v>
      </c>
      <c r="V829" s="107">
        <v>39</v>
      </c>
    </row>
    <row r="830" spans="1:22">
      <c r="A830" s="137" t="s">
        <v>1515</v>
      </c>
      <c r="B830" s="59">
        <f>+B829+1</f>
        <v>822</v>
      </c>
      <c r="C830" s="102">
        <v>25</v>
      </c>
      <c r="D830" s="92" t="str">
        <f>+A830</f>
        <v>LEUKAEMIA SCREEN/ MONITORING PANEL-3</v>
      </c>
      <c r="E830" s="139"/>
      <c r="T830" s="139" t="s">
        <v>1516</v>
      </c>
      <c r="U830" s="108" t="s">
        <v>1517</v>
      </c>
      <c r="V830" s="107">
        <v>100.7</v>
      </c>
    </row>
    <row r="831" spans="1:22">
      <c r="A831" s="137" t="s">
        <v>1518</v>
      </c>
      <c r="B831" s="59">
        <f>+B830+1</f>
        <v>823</v>
      </c>
      <c r="C831" s="102">
        <v>25</v>
      </c>
      <c r="D831" s="92" t="str">
        <f>+A831</f>
        <v>LEUKAEMIA SCREEN/ MONITORING PANEL-4</v>
      </c>
      <c r="E831" s="139"/>
      <c r="T831" s="139"/>
      <c r="U831" s="108"/>
      <c r="V831" s="107"/>
    </row>
    <row r="832" spans="1:22">
      <c r="A832" s="137" t="s">
        <v>1519</v>
      </c>
      <c r="B832" s="59">
        <f>+B831+1</f>
        <v>824</v>
      </c>
      <c r="C832" s="102">
        <v>25</v>
      </c>
      <c r="D832" s="92" t="str">
        <f>+A832</f>
        <v>LEUKAEMIA SCREEN/ MONITORING PANEL-5</v>
      </c>
      <c r="E832" s="139"/>
      <c r="T832" s="139"/>
      <c r="U832" s="108"/>
      <c r="V832" s="107"/>
    </row>
    <row r="833" spans="1:22">
      <c r="A833" s="137" t="s">
        <v>1520</v>
      </c>
      <c r="B833" s="59">
        <f>+B832+1</f>
        <v>825</v>
      </c>
      <c r="C833" s="102">
        <v>25</v>
      </c>
      <c r="D833" s="92" t="str">
        <f>+A833</f>
        <v>LEUKAEMIA SCREEN/ MONITORING PANEL-6</v>
      </c>
      <c r="E833" s="139"/>
      <c r="T833" s="139"/>
      <c r="U833" s="108"/>
      <c r="V833" s="107"/>
    </row>
    <row r="834" spans="1:22">
      <c r="A834" s="137" t="s">
        <v>1521</v>
      </c>
      <c r="B834" s="59">
        <f>+B833+1</f>
        <v>826</v>
      </c>
      <c r="C834" s="102">
        <v>25</v>
      </c>
      <c r="D834" s="92" t="str">
        <f>+A834</f>
        <v>LEUKAEMIA SCREEN/ MONITORING PANEL-7</v>
      </c>
      <c r="E834" s="139"/>
      <c r="T834" s="139"/>
      <c r="U834" s="108"/>
      <c r="V834" s="107"/>
    </row>
    <row r="835" spans="1:22">
      <c r="A835" s="137" t="s">
        <v>1522</v>
      </c>
      <c r="B835" s="59">
        <f>+B834+1</f>
        <v>827</v>
      </c>
      <c r="C835" s="102">
        <v>25</v>
      </c>
      <c r="D835" s="92" t="str">
        <f>+A835</f>
        <v>LEUKAEMIA SCREEN/ MONITORING PANEL-8</v>
      </c>
      <c r="E835" s="139"/>
      <c r="T835" s="139"/>
      <c r="U835" s="108"/>
      <c r="V835" s="107"/>
    </row>
    <row r="836" spans="1:22">
      <c r="A836" s="137" t="s">
        <v>1523</v>
      </c>
      <c r="B836" s="59">
        <f>+B835+1</f>
        <v>828</v>
      </c>
      <c r="C836" s="102">
        <v>25</v>
      </c>
      <c r="D836" s="92" t="str">
        <f>+A836</f>
        <v>LEUKAEMIA SCREEN/ MONITORING PANEL-9</v>
      </c>
      <c r="E836" s="139"/>
      <c r="T836" s="139"/>
      <c r="U836" s="108"/>
      <c r="V836" s="107"/>
    </row>
    <row r="837" spans="1:22">
      <c r="A837" s="137" t="s">
        <v>1496</v>
      </c>
      <c r="B837" s="59">
        <f>+B836+1</f>
        <v>829</v>
      </c>
      <c r="C837" s="102">
        <v>39.4</v>
      </c>
      <c r="D837" s="92" t="str">
        <f>+A837</f>
        <v>LYMPHOCYTE SUBSETS</v>
      </c>
      <c r="E837" s="139"/>
      <c r="T837" s="139"/>
      <c r="U837" s="108"/>
      <c r="V837" s="107"/>
    </row>
    <row r="838" spans="1:22">
      <c r="A838" s="137" t="s">
        <v>1524</v>
      </c>
      <c r="B838" s="59">
        <f>+B837+1</f>
        <v>830</v>
      </c>
      <c r="C838" s="102">
        <v>33.6</v>
      </c>
      <c r="D838" s="92" t="str">
        <f>+A838</f>
        <v>MATURE B CELLMARKERS PANEL1</v>
      </c>
      <c r="E838" s="139"/>
      <c r="T838" s="139"/>
      <c r="U838" s="108"/>
      <c r="V838" s="107"/>
    </row>
    <row r="839" spans="1:22">
      <c r="A839" s="137" t="s">
        <v>1525</v>
      </c>
      <c r="B839" s="59">
        <f>+B838+1</f>
        <v>831</v>
      </c>
      <c r="C839" s="102">
        <v>33.6</v>
      </c>
      <c r="D839" s="92" t="str">
        <f>+A839</f>
        <v>MATURE B CELLMARKERS PANEL2</v>
      </c>
      <c r="E839" s="139"/>
      <c r="T839" s="139"/>
      <c r="U839" s="108"/>
      <c r="V839" s="107"/>
    </row>
    <row r="840" spans="1:22">
      <c r="A840" s="137" t="s">
        <v>1526</v>
      </c>
      <c r="B840" s="59">
        <f>+B839+1</f>
        <v>832</v>
      </c>
      <c r="C840" s="102">
        <v>46.6</v>
      </c>
      <c r="D840" s="92" t="str">
        <f>+A840</f>
        <v>MEMORY B CELLS SUBSETS</v>
      </c>
      <c r="E840" s="138"/>
      <c r="T840" s="139" t="s">
        <v>1479</v>
      </c>
      <c r="U840" s="108" t="s">
        <v>1527</v>
      </c>
      <c r="V840" s="107">
        <v>113.5</v>
      </c>
    </row>
    <row r="841" spans="1:22">
      <c r="A841" s="137" t="s">
        <v>1528</v>
      </c>
      <c r="B841" s="59">
        <f>+B840+1</f>
        <v>833</v>
      </c>
      <c r="C841" s="102">
        <v>33.6</v>
      </c>
      <c r="D841" s="92" t="str">
        <f>+A841</f>
        <v>MEMORY T-CELL  SUBSETS</v>
      </c>
      <c r="E841" s="139"/>
      <c r="T841" s="139" t="s">
        <v>1481</v>
      </c>
      <c r="U841" s="108" t="s">
        <v>1529</v>
      </c>
      <c r="V841" s="107">
        <v>149.5</v>
      </c>
    </row>
    <row r="842" spans="1:22">
      <c r="A842" s="137" t="s">
        <v>1530</v>
      </c>
      <c r="B842" s="59">
        <f>+B841+1</f>
        <v>834</v>
      </c>
      <c r="C842" s="102">
        <v>50</v>
      </c>
      <c r="D842" s="92" t="str">
        <f>+A842</f>
        <v>MYELOPROLIFERATIVE MDS SCREEN</v>
      </c>
      <c r="E842" s="139"/>
      <c r="T842" s="139" t="s">
        <v>1531</v>
      </c>
      <c r="U842" s="108" t="s">
        <v>1532</v>
      </c>
      <c r="V842" s="107">
        <v>91.2</v>
      </c>
    </row>
    <row r="843" spans="1:22">
      <c r="A843" s="137" t="s">
        <v>1533</v>
      </c>
      <c r="B843" s="59">
        <f>+B842+1</f>
        <v>835</v>
      </c>
      <c r="C843" s="102">
        <v>33.6</v>
      </c>
      <c r="D843" s="92" t="str">
        <f>+A843</f>
        <v>MYELOMA SCREEN/MONITORING</v>
      </c>
      <c r="E843" s="139"/>
      <c r="T843" s="139" t="s">
        <v>1485</v>
      </c>
      <c r="U843" s="108" t="s">
        <v>1534</v>
      </c>
      <c r="V843" s="107">
        <v>101.2</v>
      </c>
    </row>
    <row r="844" spans="1:22">
      <c r="A844" s="137" t="s">
        <v>1535</v>
      </c>
      <c r="B844" s="59">
        <f>+B843+1</f>
        <v>836</v>
      </c>
      <c r="C844" s="102">
        <v>33.6</v>
      </c>
      <c r="D844" s="92" t="str">
        <f>+A844</f>
        <v>NK-NKT CELL SUBSETS</v>
      </c>
      <c r="E844" s="139"/>
      <c r="T844" s="139" t="s">
        <v>1487</v>
      </c>
      <c r="U844" s="108" t="s">
        <v>1536</v>
      </c>
      <c r="V844" s="107">
        <v>26.9</v>
      </c>
    </row>
    <row r="845" spans="1:22">
      <c r="A845" s="137" t="s">
        <v>1537</v>
      </c>
      <c r="B845" s="59">
        <f>+B844+1</f>
        <v>837</v>
      </c>
      <c r="C845" s="102">
        <v>33.6</v>
      </c>
      <c r="D845" s="92" t="str">
        <f>+A845</f>
        <v>PRIMARY B CELL CLONALITY</v>
      </c>
      <c r="E845" s="139"/>
      <c r="T845" s="139" t="s">
        <v>1538</v>
      </c>
      <c r="U845" s="108" t="s">
        <v>1539</v>
      </c>
      <c r="V845" s="107">
        <v>172.9</v>
      </c>
    </row>
    <row r="846" spans="1:22">
      <c r="A846" s="137" t="s">
        <v>1540</v>
      </c>
      <c r="B846" s="59">
        <f>+B845+1</f>
        <v>838</v>
      </c>
      <c r="C846" s="102">
        <v>33.6</v>
      </c>
      <c r="D846" s="92" t="str">
        <f>+A846</f>
        <v>PRIMARY LYMPHOCYTE SUBSETS</v>
      </c>
      <c r="E846" s="139"/>
      <c r="T846" s="139" t="s">
        <v>1491</v>
      </c>
      <c r="U846" s="108" t="s">
        <v>1541</v>
      </c>
      <c r="V846" s="107">
        <v>78.8</v>
      </c>
    </row>
    <row r="847" spans="1:22">
      <c r="A847" s="137" t="s">
        <v>1542</v>
      </c>
      <c r="B847" s="59">
        <f>+B846+1</f>
        <v>839</v>
      </c>
      <c r="C847" s="102">
        <v>33.6</v>
      </c>
      <c r="D847" s="92" t="str">
        <f>+A847</f>
        <v>PRIMARY T CELL SUBSETS</v>
      </c>
      <c r="E847" s="139"/>
      <c r="T847" s="139" t="s">
        <v>1493</v>
      </c>
      <c r="U847" s="108" t="s">
        <v>1543</v>
      </c>
      <c r="V847" s="107">
        <v>25.3</v>
      </c>
    </row>
    <row r="848" spans="1:22">
      <c r="A848" s="137" t="s">
        <v>1544</v>
      </c>
      <c r="B848" s="59">
        <f>+B847+1</f>
        <v>840</v>
      </c>
      <c r="C848" s="102">
        <v>33.6</v>
      </c>
      <c r="D848" s="92" t="str">
        <f>+A848</f>
        <v>SECONDARY B CELL MATURATION MARKERS</v>
      </c>
      <c r="E848" s="138"/>
      <c r="T848" s="139" t="s">
        <v>1495</v>
      </c>
      <c r="U848" s="108" t="s">
        <v>1545</v>
      </c>
      <c r="V848" s="107">
        <v>25.3</v>
      </c>
    </row>
    <row r="849" spans="1:22">
      <c r="A849" s="137" t="s">
        <v>1499</v>
      </c>
      <c r="B849" s="59">
        <f>+B848+1</f>
        <v>841</v>
      </c>
      <c r="C849" s="102">
        <v>39.4</v>
      </c>
      <c r="D849" s="92" t="str">
        <f>+A849</f>
        <v>SECONDARY T SCREEN</v>
      </c>
      <c r="E849" s="139"/>
      <c r="T849" s="139" t="s">
        <v>1496</v>
      </c>
      <c r="U849" s="108" t="s">
        <v>1541</v>
      </c>
      <c r="V849" s="107">
        <v>72.1</v>
      </c>
    </row>
    <row r="850" spans="1:22">
      <c r="A850" s="137" t="s">
        <v>1546</v>
      </c>
      <c r="B850" s="59">
        <f>+B849+1</f>
        <v>842</v>
      </c>
      <c r="C850" s="102">
        <v>39.4</v>
      </c>
      <c r="D850" s="92" t="str">
        <f>+A850</f>
        <v>T CELL SUBSETS</v>
      </c>
      <c r="E850" s="139"/>
      <c r="T850" s="139" t="s">
        <v>1497</v>
      </c>
      <c r="U850" s="108" t="s">
        <v>1547</v>
      </c>
      <c r="V850" s="107">
        <v>50.5</v>
      </c>
    </row>
    <row r="851" spans="1:22">
      <c r="A851" s="137" t="s">
        <v>1548</v>
      </c>
      <c r="B851" s="59">
        <f>+B850+1</f>
        <v>843</v>
      </c>
      <c r="C851" s="102">
        <v>78.8</v>
      </c>
      <c r="D851" s="92" t="str">
        <f>+A851</f>
        <v>TBNK CELL MARKERS</v>
      </c>
      <c r="E851" s="139"/>
      <c r="T851" s="139" t="s">
        <v>1499</v>
      </c>
      <c r="U851" s="108" t="s">
        <v>1549</v>
      </c>
      <c r="V851" s="107">
        <v>119.3</v>
      </c>
    </row>
    <row r="852" spans="1:22">
      <c r="A852" s="137" t="s">
        <v>1548</v>
      </c>
      <c r="B852" s="59">
        <f>+B851+1</f>
        <v>844</v>
      </c>
      <c r="C852" s="102">
        <v>78.8</v>
      </c>
      <c r="D852" s="92" t="str">
        <f>+A852</f>
        <v>TBNK CELL MARKERS</v>
      </c>
      <c r="E852" s="139"/>
      <c r="T852" s="139" t="s">
        <v>1502</v>
      </c>
      <c r="U852" s="108" t="s">
        <v>1502</v>
      </c>
      <c r="V852" s="107">
        <v>9.1</v>
      </c>
    </row>
    <row r="853" spans="1:22">
      <c r="A853" s="137" t="s">
        <v>1471</v>
      </c>
      <c r="B853" s="59">
        <f>+B852+1</f>
        <v>845</v>
      </c>
      <c r="C853" s="102">
        <v>39.4</v>
      </c>
      <c r="D853" s="92" t="str">
        <f>+A853</f>
        <v>T-CELL ACTIVATION</v>
      </c>
      <c r="E853" s="139"/>
      <c r="T853" s="139" t="s">
        <v>1546</v>
      </c>
      <c r="U853" s="145"/>
      <c r="V853" s="107">
        <v>67.6</v>
      </c>
    </row>
    <row r="854" spans="1:22">
      <c r="A854" s="137" t="s">
        <v>1497</v>
      </c>
      <c r="B854" s="59">
        <f>+B853+1</f>
        <v>846</v>
      </c>
      <c r="C854" s="102">
        <v>50.5</v>
      </c>
      <c r="D854" s="92" t="str">
        <f>+A854</f>
        <v>T-CELL RECEPTOR</v>
      </c>
      <c r="E854" s="139"/>
      <c r="T854" s="139" t="s">
        <v>1504</v>
      </c>
      <c r="U854" s="108" t="s">
        <v>1550</v>
      </c>
      <c r="V854" s="107">
        <v>27.6</v>
      </c>
    </row>
    <row r="855" spans="1:22" ht="13">
      <c r="A855" s="146" t="s">
        <v>1551</v>
      </c>
      <c r="B855" s="59">
        <f>+B854+1</f>
        <v>847</v>
      </c>
      <c r="C855" s="102">
        <f>+V855</f>
        <v>0</v>
      </c>
      <c r="D855" s="92" t="str">
        <f>+A855</f>
        <v>MOLECULAR BIOLOGY</v>
      </c>
      <c r="E855" s="147"/>
      <c r="T855" s="146"/>
      <c r="U855" s="108"/>
      <c r="V855" s="107"/>
    </row>
    <row r="856" spans="1:22" ht="13">
      <c r="A856" s="148" t="s">
        <v>1552</v>
      </c>
      <c r="B856" s="59">
        <f>+B855+1</f>
        <v>848</v>
      </c>
      <c r="C856" s="102">
        <v>279.5</v>
      </c>
      <c r="D856" s="92" t="str">
        <f>+A856</f>
        <v>IMMUNODEFIC. CASES (INCL. PCR1 &amp; TCRD)</v>
      </c>
      <c r="E856" s="147"/>
      <c r="T856" s="146"/>
      <c r="U856" s="108"/>
      <c r="V856" s="107"/>
    </row>
    <row r="857" spans="1:22" ht="13">
      <c r="A857" s="148" t="s">
        <v>1553</v>
      </c>
      <c r="B857" s="59">
        <f>+B856+1</f>
        <v>849</v>
      </c>
      <c r="C857" s="102">
        <v>42.9</v>
      </c>
      <c r="D857" s="92" t="str">
        <f>+A857</f>
        <v>LIGHT CHAIN REARRANGEMENTS</v>
      </c>
      <c r="E857" s="147"/>
      <c r="T857" s="146"/>
      <c r="U857" s="108"/>
      <c r="V857" s="107"/>
    </row>
    <row r="858" spans="1:22" ht="13">
      <c r="A858" s="148" t="s">
        <v>1554</v>
      </c>
      <c r="B858" s="59">
        <f>+B857+1</f>
        <v>850</v>
      </c>
      <c r="C858" s="102">
        <v>27.6</v>
      </c>
      <c r="D858" s="92" t="str">
        <f>+A858</f>
        <v>IgGHD-J GENER REARRANGEMENTS</v>
      </c>
      <c r="E858" s="147"/>
      <c r="T858" s="146"/>
      <c r="U858" s="108"/>
      <c r="V858" s="107"/>
    </row>
    <row r="859" spans="1:22" ht="13">
      <c r="A859" s="149" t="s">
        <v>1555</v>
      </c>
      <c r="B859" s="59">
        <f>+B858+1</f>
        <v>851</v>
      </c>
      <c r="C859" s="102">
        <v>66.7</v>
      </c>
      <c r="D859" s="92" t="str">
        <f>+A859</f>
        <v>IGH</v>
      </c>
      <c r="E859" s="147"/>
      <c r="T859" s="146"/>
      <c r="U859" s="108"/>
      <c r="V859" s="107"/>
    </row>
    <row r="860" spans="1:22" ht="13">
      <c r="A860" s="148" t="s">
        <v>1556</v>
      </c>
      <c r="B860" s="59">
        <f>+B859+1</f>
        <v>852</v>
      </c>
      <c r="C860" s="102">
        <v>225.9</v>
      </c>
      <c r="D860" s="92" t="str">
        <f>+A860</f>
        <v>PARAFFIN PCR INCL. PCR1 &amp; MW MARKER</v>
      </c>
      <c r="E860" s="147"/>
      <c r="T860" s="146"/>
      <c r="U860" s="108"/>
      <c r="V860" s="107"/>
    </row>
    <row r="861" spans="1:22" ht="13">
      <c r="A861" s="148" t="s">
        <v>1557</v>
      </c>
      <c r="B861" s="59">
        <f>+B860+1</f>
        <v>853</v>
      </c>
      <c r="C861" s="102">
        <v>268.7</v>
      </c>
      <c r="D861" s="92" t="str">
        <f>+A861</f>
        <v>PARAFFIN PCR INCL. PCR1- MW &amp; IgL (suspected B cell disease)</v>
      </c>
      <c r="E861" s="147"/>
      <c r="T861" s="146"/>
      <c r="U861" s="108"/>
      <c r="V861" s="107"/>
    </row>
    <row r="862" spans="1:22" ht="13">
      <c r="A862" s="148" t="s">
        <v>1558</v>
      </c>
      <c r="B862" s="59">
        <f>+B861+1</f>
        <v>854</v>
      </c>
      <c r="C862" s="102">
        <v>225.9</v>
      </c>
      <c r="D862" s="92" t="str">
        <f>+A862</f>
        <v>PCR STANDARD REQUEST FOR ALL TCRS &amp; IgH</v>
      </c>
      <c r="E862" s="147"/>
      <c r="T862" s="146"/>
      <c r="U862" s="108"/>
      <c r="V862" s="107"/>
    </row>
    <row r="863" spans="1:22" ht="13">
      <c r="A863" s="148" t="s">
        <v>1559</v>
      </c>
      <c r="B863" s="59">
        <f>+B862+1</f>
        <v>855</v>
      </c>
      <c r="C863" s="102">
        <v>232.7</v>
      </c>
      <c r="D863" s="92" t="str">
        <f>+A863</f>
        <v>PCR (IGH-TCR BETA GAMMA)</v>
      </c>
      <c r="E863" s="147"/>
      <c r="T863" s="146"/>
      <c r="U863" s="108"/>
      <c r="V863" s="107"/>
    </row>
    <row r="864" spans="1:22" ht="13">
      <c r="A864" s="148" t="s">
        <v>1560</v>
      </c>
      <c r="B864" s="59">
        <f>+B863+1</f>
        <v>856</v>
      </c>
      <c r="C864" s="102">
        <v>268.7</v>
      </c>
      <c r="D864" s="92" t="str">
        <f>+A864</f>
        <v>PCR FRESH SAMPLES B CELL SUSPECTED (INCL. PCR1 &amp; IgL)</v>
      </c>
      <c r="E864" s="147"/>
      <c r="T864" s="146"/>
      <c r="U864" s="108"/>
      <c r="V864" s="107"/>
    </row>
    <row r="865" spans="1:22" ht="13">
      <c r="A865" s="148" t="s">
        <v>1561</v>
      </c>
      <c r="B865" s="59">
        <f>+B864+1</f>
        <v>857</v>
      </c>
      <c r="C865" s="102">
        <v>7.7</v>
      </c>
      <c r="D865" s="92" t="str">
        <f>+A865</f>
        <v>PCR HANDLING CHARGE</v>
      </c>
      <c r="E865" s="147"/>
      <c r="T865" s="146"/>
      <c r="U865" s="108"/>
      <c r="V865" s="107"/>
    </row>
    <row r="866" spans="1:22" ht="13">
      <c r="A866" s="148" t="s">
        <v>1562</v>
      </c>
      <c r="B866" s="59">
        <f>+B865+1</f>
        <v>858</v>
      </c>
      <c r="C866" s="102">
        <v>151</v>
      </c>
      <c r="D866" s="92" t="str">
        <f>+A866</f>
        <v>REQUEST FOR TCR ONLY</v>
      </c>
      <c r="E866" s="147"/>
      <c r="T866" s="146"/>
      <c r="U866" s="108"/>
      <c r="V866" s="107"/>
    </row>
    <row r="867" spans="1:22" ht="13">
      <c r="A867" s="148" t="s">
        <v>1563</v>
      </c>
      <c r="B867" s="59">
        <f>+B866+1</f>
        <v>859</v>
      </c>
      <c r="C867" s="102">
        <v>316</v>
      </c>
      <c r="D867" s="92" t="str">
        <f>+A867</f>
        <v>TCRVB SPECTRATYPING</v>
      </c>
      <c r="E867" s="147"/>
      <c r="T867" s="146"/>
      <c r="U867" s="108"/>
      <c r="V867" s="107"/>
    </row>
    <row r="868" spans="1:22" ht="13">
      <c r="A868" s="148" t="s">
        <v>1564</v>
      </c>
      <c r="B868" s="59">
        <f>+B867+1</f>
        <v>860</v>
      </c>
      <c r="C868" s="102">
        <v>155.6</v>
      </c>
      <c r="D868" s="92" t="str">
        <f>+A868</f>
        <v>TCR(BETA GAMMA)</v>
      </c>
      <c r="E868" s="147"/>
      <c r="T868" s="146"/>
      <c r="U868" s="108"/>
      <c r="V868" s="107"/>
    </row>
    <row r="869" spans="1:22" ht="13">
      <c r="A869" s="148" t="s">
        <v>1565</v>
      </c>
      <c r="B869" s="59">
        <f>+B868+1</f>
        <v>861</v>
      </c>
      <c r="C869" s="102">
        <v>11.4</v>
      </c>
      <c r="D869" s="92" t="str">
        <f>+A869</f>
        <v>TCR DELTA</v>
      </c>
      <c r="E869" s="147"/>
      <c r="T869" s="146"/>
      <c r="U869" s="108"/>
      <c r="V869" s="107"/>
    </row>
    <row r="870" spans="1:22" ht="13">
      <c r="A870" s="148" t="s">
        <v>1566</v>
      </c>
      <c r="B870" s="59">
        <f>+B869+1</f>
        <v>862</v>
      </c>
      <c r="C870" s="102">
        <v>47.8</v>
      </c>
      <c r="D870" s="92" t="str">
        <f>+A870</f>
        <v>TCRG</v>
      </c>
      <c r="E870" s="147"/>
      <c r="T870" s="146"/>
      <c r="U870" s="108"/>
      <c r="V870" s="107"/>
    </row>
    <row r="871" spans="1:22" ht="13">
      <c r="A871" s="148" t="s">
        <v>1567</v>
      </c>
      <c r="B871" s="59">
        <f>+B870+1</f>
        <v>863</v>
      </c>
      <c r="C871" s="102">
        <v>75.8</v>
      </c>
      <c r="D871" s="92" t="str">
        <f>+A871</f>
        <v>T(11:14) TRANSLOCATION</v>
      </c>
      <c r="E871" s="147"/>
      <c r="T871" s="146"/>
      <c r="U871" s="108"/>
      <c r="V871" s="107"/>
    </row>
    <row r="872" spans="1:22" ht="13">
      <c r="A872" s="148" t="s">
        <v>1568</v>
      </c>
      <c r="B872" s="59">
        <f>+B871+1</f>
        <v>864</v>
      </c>
      <c r="C872" s="102">
        <v>78.3</v>
      </c>
      <c r="D872" s="92" t="str">
        <f>+A872</f>
        <v>T(14:18) TRANSLOCATION</v>
      </c>
      <c r="E872" s="147"/>
      <c r="T872" s="146"/>
      <c r="U872" s="108"/>
      <c r="V872" s="107"/>
    </row>
    <row r="873" spans="1:22" ht="13">
      <c r="A873" s="148" t="s">
        <v>1569</v>
      </c>
      <c r="B873" s="59">
        <f>+B872+1</f>
        <v>865</v>
      </c>
      <c r="C873" s="102">
        <v>85.7</v>
      </c>
      <c r="D873" s="92" t="str">
        <f>+A873</f>
        <v>BCR-ABL QUANTITATION 1</v>
      </c>
      <c r="E873" s="147"/>
      <c r="T873" s="146"/>
      <c r="U873" s="108"/>
      <c r="V873" s="107"/>
    </row>
    <row r="874" spans="1:22" ht="13">
      <c r="A874" s="148" t="s">
        <v>1570</v>
      </c>
      <c r="B874" s="59">
        <f>+B873+1</f>
        <v>866</v>
      </c>
      <c r="C874" s="102">
        <v>85.7</v>
      </c>
      <c r="D874" s="92" t="str">
        <f>+A874</f>
        <v>BCR-ABL QUANTITATION 2</v>
      </c>
      <c r="E874" s="147"/>
      <c r="T874" s="146"/>
      <c r="U874" s="108"/>
      <c r="V874" s="107"/>
    </row>
    <row r="875" spans="1:22" ht="13">
      <c r="A875" s="148" t="s">
        <v>1571</v>
      </c>
      <c r="B875" s="59">
        <f>+B874+1</f>
        <v>867</v>
      </c>
      <c r="C875" s="102">
        <v>171.4</v>
      </c>
      <c r="D875" s="92" t="str">
        <f>+A875</f>
        <v>BCR-ABL QUANTITATION 1 + 2</v>
      </c>
      <c r="E875" s="147"/>
      <c r="T875" s="146"/>
      <c r="U875" s="108"/>
      <c r="V875" s="107"/>
    </row>
    <row r="876" spans="1:22" ht="13">
      <c r="A876" s="148" t="s">
        <v>1572</v>
      </c>
      <c r="B876" s="59">
        <f>+B875+1</f>
        <v>868</v>
      </c>
      <c r="C876" s="102">
        <v>68.2</v>
      </c>
      <c r="D876" s="92" t="str">
        <f>+A876</f>
        <v>HLA B57</v>
      </c>
      <c r="E876" s="147"/>
      <c r="T876" s="146"/>
      <c r="U876" s="108"/>
      <c r="V876" s="107"/>
    </row>
    <row r="877" spans="1:22">
      <c r="A877" s="148" t="s">
        <v>1573</v>
      </c>
      <c r="B877" s="59">
        <f>+B876+1</f>
        <v>869</v>
      </c>
      <c r="C877" s="102">
        <v>139.7</v>
      </c>
      <c r="D877" s="92" t="str">
        <f>+A877</f>
        <v>BEHCETS</v>
      </c>
      <c r="E877" s="148"/>
      <c r="T877" s="148" t="s">
        <v>1552</v>
      </c>
      <c r="U877" s="108" t="s">
        <v>1574</v>
      </c>
      <c r="V877" s="107">
        <v>279.5</v>
      </c>
    </row>
    <row r="878" spans="1:22">
      <c r="A878" s="148" t="s">
        <v>1575</v>
      </c>
      <c r="B878" s="59">
        <f>+B877+1</f>
        <v>870</v>
      </c>
      <c r="C878" s="102">
        <v>241</v>
      </c>
      <c r="D878" s="92" t="str">
        <f>+A878</f>
        <v>FULL HLA CLASS 1+11 </v>
      </c>
      <c r="E878" s="148"/>
      <c r="T878" s="148" t="s">
        <v>1576</v>
      </c>
      <c r="U878" s="108" t="s">
        <v>1577</v>
      </c>
      <c r="V878" s="107">
        <v>42.9</v>
      </c>
    </row>
    <row r="879" spans="1:22">
      <c r="A879" s="148" t="s">
        <v>1578</v>
      </c>
      <c r="B879" s="59">
        <f>+B878+1</f>
        <v>871</v>
      </c>
      <c r="C879" s="102">
        <v>161.1</v>
      </c>
      <c r="D879" s="92" t="str">
        <f>+A879</f>
        <v>HIGH RESOLUTION CLASS II TYPING</v>
      </c>
      <c r="E879" s="148"/>
      <c r="T879" s="148" t="s">
        <v>1554</v>
      </c>
      <c r="U879" s="108" t="s">
        <v>1579</v>
      </c>
      <c r="V879" s="107">
        <v>27.6</v>
      </c>
    </row>
    <row r="880" spans="1:22">
      <c r="A880" s="148" t="s">
        <v>1580</v>
      </c>
      <c r="B880" s="59">
        <f>+B879+1</f>
        <v>872</v>
      </c>
      <c r="C880" s="102">
        <v>120.8</v>
      </c>
      <c r="D880" s="92" t="str">
        <f>+A880</f>
        <v>HLA TYPEING FOR LUDWIG STUDY</v>
      </c>
      <c r="E880" s="148"/>
      <c r="T880" s="148" t="s">
        <v>1555</v>
      </c>
      <c r="U880" s="108" t="s">
        <v>1555</v>
      </c>
      <c r="V880" s="107">
        <v>66.7</v>
      </c>
    </row>
    <row r="881" spans="1:22">
      <c r="A881" s="148" t="s">
        <v>1581</v>
      </c>
      <c r="B881" s="59">
        <f>+B880+1</f>
        <v>873</v>
      </c>
      <c r="C881" s="102">
        <v>139.7</v>
      </c>
      <c r="D881" s="92" t="str">
        <f>+A881</f>
        <v>CLASS 1 MATCHED PLATELETS</v>
      </c>
      <c r="E881" s="148"/>
      <c r="T881" s="148" t="s">
        <v>1556</v>
      </c>
      <c r="U881" s="108" t="s">
        <v>1582</v>
      </c>
      <c r="V881" s="107">
        <v>225.9</v>
      </c>
    </row>
    <row r="882" spans="1:22">
      <c r="A882" s="148" t="s">
        <v>1583</v>
      </c>
      <c r="B882" s="59">
        <f>+B881+1</f>
        <v>874</v>
      </c>
      <c r="C882" s="102">
        <v>120.8</v>
      </c>
      <c r="D882" s="92" t="str">
        <f>+A882</f>
        <v>HLA CLASS 1 (A-B) </v>
      </c>
      <c r="E882" s="148"/>
      <c r="T882" s="148" t="s">
        <v>1557</v>
      </c>
      <c r="U882" s="108" t="s">
        <v>1584</v>
      </c>
      <c r="V882" s="107">
        <v>268.7</v>
      </c>
    </row>
    <row r="883" spans="1:22">
      <c r="A883" s="148" t="s">
        <v>1585</v>
      </c>
      <c r="B883" s="59">
        <f>+B882+1</f>
        <v>875</v>
      </c>
      <c r="C883" s="102">
        <v>94.4</v>
      </c>
      <c r="D883" s="92" t="str">
        <f>+A883</f>
        <v>HLA CLASS 11 (DR- DQ) </v>
      </c>
      <c r="E883" s="148"/>
      <c r="T883" s="148" t="s">
        <v>1558</v>
      </c>
      <c r="U883" s="108" t="s">
        <v>1586</v>
      </c>
      <c r="V883" s="107">
        <v>225.9</v>
      </c>
    </row>
    <row r="884" spans="1:22">
      <c r="A884" s="148" t="s">
        <v>1587</v>
      </c>
      <c r="B884" s="59">
        <f>+B883+1</f>
        <v>876</v>
      </c>
      <c r="C884" s="102">
        <v>43.6</v>
      </c>
      <c r="D884" s="92" t="str">
        <f>+A884</f>
        <v>HEAMOCHROMATOSIS GENOTYPE</v>
      </c>
      <c r="E884" s="148"/>
      <c r="T884" s="148" t="s">
        <v>1559</v>
      </c>
      <c r="U884" s="108" t="s">
        <v>1588</v>
      </c>
      <c r="V884" s="107">
        <v>232.7</v>
      </c>
    </row>
    <row r="885" spans="1:22">
      <c r="A885" s="148" t="s">
        <v>1589</v>
      </c>
      <c r="B885" s="59">
        <f>+B884+1</f>
        <v>877</v>
      </c>
      <c r="C885" s="102">
        <v>7.7</v>
      </c>
      <c r="D885" s="92" t="str">
        <f>+A885</f>
        <v>INAPPROPRIATE SAMPLE</v>
      </c>
      <c r="E885" s="148"/>
      <c r="T885" s="148" t="s">
        <v>1560</v>
      </c>
      <c r="U885" s="108" t="s">
        <v>1590</v>
      </c>
      <c r="V885" s="107">
        <v>268.7</v>
      </c>
    </row>
    <row r="886" spans="1:22">
      <c r="A886" s="148" t="s">
        <v>1591</v>
      </c>
      <c r="B886" s="59">
        <f>+B885+1</f>
        <v>878</v>
      </c>
      <c r="C886" s="102">
        <v>101.8</v>
      </c>
      <c r="D886" s="92" t="str">
        <f>+A886</f>
        <v>NARCOLEPSY</v>
      </c>
      <c r="E886" s="148"/>
      <c r="T886" s="148" t="s">
        <v>1561</v>
      </c>
      <c r="U886" s="108" t="s">
        <v>1592</v>
      </c>
      <c r="V886" s="107">
        <v>7.7</v>
      </c>
    </row>
    <row r="887" spans="1:22">
      <c r="A887" s="148" t="s">
        <v>1593</v>
      </c>
      <c r="B887" s="59">
        <f>+B886+1</f>
        <v>879</v>
      </c>
      <c r="C887" s="102">
        <v>28.1</v>
      </c>
      <c r="D887" s="92" t="str">
        <f>+A887</f>
        <v>FACTOR V LEIDEN</v>
      </c>
      <c r="E887" s="148"/>
      <c r="T887" s="148" t="s">
        <v>1562</v>
      </c>
      <c r="U887" s="108" t="s">
        <v>1594</v>
      </c>
      <c r="V887" s="107">
        <v>151</v>
      </c>
    </row>
    <row r="888" spans="1:22">
      <c r="A888" s="148" t="s">
        <v>1595</v>
      </c>
      <c r="B888" s="59">
        <f>+B887+1</f>
        <v>880</v>
      </c>
      <c r="C888" s="102">
        <v>28.1</v>
      </c>
      <c r="D888" s="92" t="str">
        <f>+A888</f>
        <v>METHALINE TETRAHYDRA FOLATE REDUCTASE</v>
      </c>
      <c r="E888" s="148"/>
      <c r="T888" s="148" t="s">
        <v>1596</v>
      </c>
      <c r="U888" s="108" t="s">
        <v>1597</v>
      </c>
      <c r="V888" s="107">
        <v>316</v>
      </c>
    </row>
    <row r="889" spans="1:22">
      <c r="A889" s="148" t="s">
        <v>1598</v>
      </c>
      <c r="B889" s="59">
        <f>+B888+1</f>
        <v>881</v>
      </c>
      <c r="C889" s="102">
        <v>28.1</v>
      </c>
      <c r="D889" s="92" t="str">
        <f>+A889</f>
        <v>FACTOR II MUTATION</v>
      </c>
      <c r="E889" s="148"/>
      <c r="T889" s="148" t="s">
        <v>1564</v>
      </c>
      <c r="U889" s="108" t="s">
        <v>1599</v>
      </c>
      <c r="V889" s="107">
        <v>155.6</v>
      </c>
    </row>
    <row r="890" spans="1:22">
      <c r="A890" s="150" t="s">
        <v>1600</v>
      </c>
      <c r="B890" s="59">
        <f>+B889+1</f>
        <v>882</v>
      </c>
      <c r="C890" s="102">
        <v>139.7</v>
      </c>
      <c r="D890" s="92" t="str">
        <f>+A890</f>
        <v>HLA CLASS 1 DESEASE ASSOCIATED STUDIES</v>
      </c>
      <c r="E890" s="148"/>
      <c r="T890" s="148" t="s">
        <v>1565</v>
      </c>
      <c r="U890" s="108" t="s">
        <v>1601</v>
      </c>
      <c r="V890" s="107">
        <v>11.4</v>
      </c>
    </row>
    <row r="891" spans="1:22">
      <c r="A891" s="150" t="s">
        <v>1600</v>
      </c>
      <c r="B891" s="59">
        <f>+B890+1</f>
        <v>883</v>
      </c>
      <c r="C891" s="102">
        <v>101.8</v>
      </c>
      <c r="D891" s="92" t="str">
        <f>+A891</f>
        <v>HLA CLASS 1 DESEASE ASSOCIATED STUDIES</v>
      </c>
      <c r="E891" s="148"/>
      <c r="T891" s="148" t="s">
        <v>1566</v>
      </c>
      <c r="U891" s="144" t="s">
        <v>1566</v>
      </c>
      <c r="V891" s="107">
        <v>47.8</v>
      </c>
    </row>
    <row r="892" spans="1:22">
      <c r="A892" s="150" t="s">
        <v>1602</v>
      </c>
      <c r="B892" s="59">
        <f>+B891+1</f>
        <v>884</v>
      </c>
      <c r="C892" s="102">
        <v>168.4</v>
      </c>
      <c r="D892" s="92" t="str">
        <f>+A892</f>
        <v>CHIMERISM PRIOR TO TRANSPLANT</v>
      </c>
      <c r="E892" s="148"/>
      <c r="T892" s="148" t="s">
        <v>1567</v>
      </c>
      <c r="U892" s="108" t="s">
        <v>1603</v>
      </c>
      <c r="V892" s="107">
        <v>75.8</v>
      </c>
    </row>
    <row r="893" spans="1:22">
      <c r="A893" s="150" t="s">
        <v>1604</v>
      </c>
      <c r="B893" s="59">
        <f>+B892+1</f>
        <v>885</v>
      </c>
      <c r="C893" s="102">
        <v>76.7</v>
      </c>
      <c r="D893" s="92" t="str">
        <f>+A893</f>
        <v>CHIMERISM POST TO TRANSPLANT</v>
      </c>
      <c r="E893" s="148"/>
      <c r="T893" s="148" t="s">
        <v>1568</v>
      </c>
      <c r="U893" s="108" t="s">
        <v>1605</v>
      </c>
      <c r="V893" s="107">
        <v>78.3</v>
      </c>
    </row>
    <row r="894" spans="1:22">
      <c r="A894" s="148" t="s">
        <v>1606</v>
      </c>
      <c r="B894" s="59">
        <f>+B893+1</f>
        <v>886</v>
      </c>
      <c r="C894" s="102">
        <v>60</v>
      </c>
      <c r="D894" s="92" t="str">
        <f>+A894</f>
        <v>PRIMARY B CELL SCREEN</v>
      </c>
      <c r="E894" s="148"/>
      <c r="T894" s="148" t="s">
        <v>1607</v>
      </c>
      <c r="U894" s="108" t="s">
        <v>1608</v>
      </c>
      <c r="V894" s="107">
        <v>85.7</v>
      </c>
    </row>
    <row r="895" spans="1:22">
      <c r="A895" s="148" t="s">
        <v>1609</v>
      </c>
      <c r="B895" s="59">
        <f>+B894+1</f>
        <v>887</v>
      </c>
      <c r="C895" s="102">
        <v>60</v>
      </c>
      <c r="D895" s="92" t="str">
        <f>+A895</f>
        <v>MYELOMA MONITORING</v>
      </c>
      <c r="E895" s="148"/>
      <c r="T895" s="148" t="s">
        <v>1607</v>
      </c>
      <c r="U895" s="108" t="s">
        <v>1610</v>
      </c>
      <c r="V895" s="107">
        <v>85.7</v>
      </c>
    </row>
    <row r="896" spans="1:22" ht="13">
      <c r="A896" s="151" t="s">
        <v>1611</v>
      </c>
      <c r="B896" s="59">
        <f>+B895+1</f>
        <v>888</v>
      </c>
      <c r="C896" s="102">
        <v>0</v>
      </c>
      <c r="D896" s="92" t="str">
        <f>+A896</f>
        <v>Micro Biology</v>
      </c>
      <c r="E896" s="148"/>
      <c r="T896" s="148"/>
      <c r="U896" s="108"/>
      <c r="V896" s="107"/>
    </row>
    <row r="897" spans="1:22">
      <c r="A897" s="152" t="s">
        <v>1612</v>
      </c>
      <c r="B897" s="59">
        <f>+B896+1</f>
        <v>889</v>
      </c>
      <c r="C897" s="102">
        <v>3.68</v>
      </c>
      <c r="D897" s="92" t="str">
        <f>+A897</f>
        <v>(001) Urines</v>
      </c>
      <c r="E897" s="148"/>
      <c r="T897" s="148"/>
      <c r="U897" s="108"/>
      <c r="V897" s="107"/>
    </row>
    <row r="898" spans="1:22">
      <c r="A898" s="152" t="s">
        <v>1613</v>
      </c>
      <c r="B898" s="59">
        <f>+B897+1</f>
        <v>890</v>
      </c>
      <c r="C898" s="102">
        <v>7.62</v>
      </c>
      <c r="D898" s="92" t="str">
        <f>+A898</f>
        <v>(002) Wound</v>
      </c>
      <c r="E898" s="148"/>
      <c r="T898" s="148"/>
      <c r="U898" s="108"/>
      <c r="V898" s="107"/>
    </row>
    <row r="899" spans="1:22">
      <c r="A899" s="152" t="s">
        <v>1614</v>
      </c>
      <c r="B899" s="59">
        <f>+B898+1</f>
        <v>891</v>
      </c>
      <c r="C899" s="102">
        <v>13.99</v>
      </c>
      <c r="D899" s="92" t="str">
        <f>+A899</f>
        <v>(003) Tissue</v>
      </c>
      <c r="E899" s="148"/>
      <c r="T899" s="148"/>
      <c r="U899" s="108"/>
      <c r="V899" s="107"/>
    </row>
    <row r="900" spans="1:22">
      <c r="A900" s="152" t="s">
        <v>1615</v>
      </c>
      <c r="B900" s="59">
        <f>+B899+1</f>
        <v>892</v>
      </c>
      <c r="C900" s="102">
        <v>9.92</v>
      </c>
      <c r="D900" s="92" t="str">
        <f>+A900</f>
        <v>(004) Fluid samples</v>
      </c>
      <c r="E900" s="148"/>
      <c r="T900" s="148"/>
      <c r="U900" s="108"/>
      <c r="V900" s="107"/>
    </row>
    <row r="901" spans="1:22">
      <c r="A901" s="152" t="s">
        <v>1616</v>
      </c>
      <c r="B901" s="59">
        <f>+B900+1</f>
        <v>893</v>
      </c>
      <c r="C901" s="102">
        <v>9.69</v>
      </c>
      <c r="D901" s="92" t="str">
        <f>+A901</f>
        <v>(005) CSF (spinal fluids)</v>
      </c>
      <c r="E901" s="148"/>
      <c r="T901" s="148"/>
      <c r="U901" s="108"/>
      <c r="V901" s="107"/>
    </row>
    <row r="902" spans="1:22">
      <c r="A902" s="152" t="s">
        <v>1617</v>
      </c>
      <c r="B902" s="59">
        <f>+B901+1</f>
        <v>894</v>
      </c>
      <c r="C902" s="102">
        <v>4.03</v>
      </c>
      <c r="D902" s="92" t="str">
        <f>+A902</f>
        <v>(006) MRSA swabs</v>
      </c>
      <c r="E902" s="148"/>
      <c r="T902" s="148"/>
      <c r="U902" s="108"/>
      <c r="V902" s="107"/>
    </row>
    <row r="903" spans="1:22">
      <c r="A903" s="152" t="s">
        <v>1618</v>
      </c>
      <c r="B903" s="59">
        <f>+B902+1</f>
        <v>895</v>
      </c>
      <c r="C903" s="102">
        <v>4.15</v>
      </c>
      <c r="D903" s="92" t="str">
        <f>+A903</f>
        <v>(008) Genital swabs</v>
      </c>
      <c r="E903" s="148"/>
      <c r="T903" s="148"/>
      <c r="U903" s="108"/>
      <c r="V903" s="107"/>
    </row>
    <row r="904" spans="1:22">
      <c r="A904" s="152" t="s">
        <v>1619</v>
      </c>
      <c r="B904" s="59">
        <f>+B903+1</f>
        <v>896</v>
      </c>
      <c r="C904" s="102">
        <v>5.69</v>
      </c>
      <c r="D904" s="92" t="str">
        <f>+A904</f>
        <v>(009) URT (throat swab)</v>
      </c>
      <c r="E904" s="148"/>
      <c r="T904" s="148"/>
      <c r="U904" s="108"/>
      <c r="V904" s="107"/>
    </row>
    <row r="905" spans="1:22">
      <c r="A905" s="152" t="s">
        <v>1620</v>
      </c>
      <c r="B905" s="59">
        <f>+B904+1</f>
        <v>897</v>
      </c>
      <c r="C905" s="102">
        <v>0</v>
      </c>
      <c r="D905" s="92" t="str">
        <f>+A905</f>
        <v>(011) LRT (sputum)</v>
      </c>
      <c r="E905" s="148"/>
      <c r="T905" s="148"/>
      <c r="U905" s="108"/>
      <c r="V905" s="107"/>
    </row>
    <row r="906" spans="1:22">
      <c r="A906" s="152" t="s">
        <v>1621</v>
      </c>
      <c r="B906" s="59">
        <f>+B905+1</f>
        <v>898</v>
      </c>
      <c r="C906" s="102">
        <v>6.99</v>
      </c>
      <c r="D906" s="92" t="str">
        <f>+A906</f>
        <v>(012) Faecal samples</v>
      </c>
      <c r="E906" s="148"/>
      <c r="T906" s="148"/>
      <c r="U906" s="108"/>
      <c r="V906" s="107"/>
    </row>
    <row r="907" spans="1:22">
      <c r="A907" s="152" t="s">
        <v>1622</v>
      </c>
      <c r="B907" s="59">
        <f>+B906+1</f>
        <v>899</v>
      </c>
      <c r="C907" s="102">
        <v>7.04</v>
      </c>
      <c r="D907" s="92" t="str">
        <f>+A907</f>
        <v>(014) Blood culture</v>
      </c>
      <c r="E907" s="148"/>
      <c r="T907" s="148"/>
      <c r="U907" s="108"/>
      <c r="V907" s="107"/>
    </row>
    <row r="908" spans="1:22">
      <c r="A908" s="152" t="s">
        <v>1623</v>
      </c>
      <c r="B908" s="59">
        <f>+B907+1</f>
        <v>900</v>
      </c>
      <c r="C908" s="102">
        <v>10.36</v>
      </c>
      <c r="D908" s="92" t="str">
        <f>+A908</f>
        <v>(017) Mycology</v>
      </c>
      <c r="E908" s="148"/>
      <c r="T908" s="148"/>
      <c r="U908" s="108"/>
      <c r="V908" s="107"/>
    </row>
    <row r="909" spans="1:22">
      <c r="A909" s="152" t="s">
        <v>1624</v>
      </c>
      <c r="B909" s="59">
        <f>+B908+1</f>
        <v>901</v>
      </c>
      <c r="C909" s="102">
        <v>19.08</v>
      </c>
      <c r="D909" s="92" t="str">
        <f>+A909</f>
        <v>(018) Mycobacteria (TB)</v>
      </c>
      <c r="E909" s="148"/>
      <c r="T909" s="148"/>
      <c r="U909" s="108"/>
      <c r="V909" s="107"/>
    </row>
    <row r="910" spans="1:22">
      <c r="A910" s="152" t="s">
        <v>1625</v>
      </c>
      <c r="B910" s="59">
        <f>+B909+1</f>
        <v>902</v>
      </c>
      <c r="C910" s="102">
        <v>6.49</v>
      </c>
      <c r="D910" s="92" t="str">
        <f>+A910</f>
        <v>(019) Parasitology</v>
      </c>
      <c r="E910" s="148"/>
      <c r="T910" s="148"/>
      <c r="U910" s="108"/>
      <c r="V910" s="107"/>
    </row>
    <row r="911" spans="1:22">
      <c r="A911" s="152" t="s">
        <v>1626</v>
      </c>
      <c r="B911" s="59">
        <f>+B910+1</f>
        <v>903</v>
      </c>
      <c r="C911" s="102">
        <v>7.48</v>
      </c>
      <c r="D911" s="92" t="str">
        <f>+A911</f>
        <v>(023) Clostridium difficile toxin</v>
      </c>
      <c r="E911" s="148"/>
      <c r="T911" s="148"/>
      <c r="U911" s="108"/>
      <c r="V911" s="107"/>
    </row>
    <row r="912" spans="1:22">
      <c r="A912" s="152" t="s">
        <v>1627</v>
      </c>
      <c r="B912" s="59">
        <f>+B911+1</f>
        <v>904</v>
      </c>
      <c r="C912" s="102">
        <v>11.97</v>
      </c>
      <c r="D912" s="92" t="str">
        <f>+A912</f>
        <v>(M001) Adenovirus PCR</v>
      </c>
      <c r="E912" s="148"/>
      <c r="T912" s="148"/>
      <c r="U912" s="108"/>
      <c r="V912" s="107"/>
    </row>
    <row r="913" spans="1:22">
      <c r="A913" s="152" t="s">
        <v>1628</v>
      </c>
      <c r="B913" s="59">
        <f>+B912+1</f>
        <v>905</v>
      </c>
      <c r="C913" s="102">
        <v>19.52</v>
      </c>
      <c r="D913" s="92" t="str">
        <f>+A913</f>
        <v>(M002) Cytomegalovirus PCR</v>
      </c>
      <c r="E913" s="148"/>
      <c r="T913" s="148"/>
      <c r="U913" s="108"/>
      <c r="V913" s="107"/>
    </row>
    <row r="914" spans="1:22">
      <c r="A914" s="152" t="s">
        <v>1629</v>
      </c>
      <c r="B914" s="59">
        <f>+B913+1</f>
        <v>906</v>
      </c>
      <c r="C914" s="102">
        <v>14.98</v>
      </c>
      <c r="D914" s="92" t="str">
        <f>+A914</f>
        <v>(M003) Hepatitis C RNA</v>
      </c>
      <c r="E914" s="148"/>
      <c r="T914" s="148"/>
      <c r="U914" s="108"/>
      <c r="V914" s="107"/>
    </row>
    <row r="915" spans="1:22">
      <c r="A915" s="152" t="s">
        <v>1630</v>
      </c>
      <c r="B915" s="59">
        <f>+B914+1</f>
        <v>907</v>
      </c>
      <c r="C915" s="102">
        <v>20</v>
      </c>
      <c r="D915" s="92" t="str">
        <f>+A915</f>
        <v>(M005) Enterovirus PCR</v>
      </c>
      <c r="E915" s="148"/>
      <c r="T915" s="148"/>
      <c r="U915" s="108"/>
      <c r="V915" s="107"/>
    </row>
    <row r="916" spans="1:22">
      <c r="A916" s="152" t="s">
        <v>1631</v>
      </c>
      <c r="B916" s="59">
        <f>+B915+1</f>
        <v>908</v>
      </c>
      <c r="C916" s="102">
        <v>26.83</v>
      </c>
      <c r="D916" s="92" t="str">
        <f>+A916</f>
        <v>(M006) EBV DNA</v>
      </c>
      <c r="E916" s="148"/>
      <c r="T916" s="148"/>
      <c r="U916" s="108"/>
      <c r="V916" s="107"/>
    </row>
    <row r="917" spans="1:22">
      <c r="A917" s="152" t="s">
        <v>1632</v>
      </c>
      <c r="B917" s="59">
        <f>+B916+1</f>
        <v>909</v>
      </c>
      <c r="C917" s="102">
        <v>19.98</v>
      </c>
      <c r="D917" s="92" t="str">
        <f>+A917</f>
        <v>(M007) Influenza A PCR</v>
      </c>
      <c r="E917" s="148"/>
      <c r="T917" s="148"/>
      <c r="U917" s="108"/>
      <c r="V917" s="107"/>
    </row>
    <row r="918" spans="1:22">
      <c r="A918" s="152" t="s">
        <v>1633</v>
      </c>
      <c r="B918" s="59">
        <f>+B917+1</f>
        <v>910</v>
      </c>
      <c r="C918" s="102">
        <v>18.62</v>
      </c>
      <c r="D918" s="92" t="str">
        <f>+A918</f>
        <v>(M008) Influenza B PCR</v>
      </c>
      <c r="E918" s="148"/>
      <c r="T918" s="148"/>
      <c r="U918" s="108"/>
      <c r="V918" s="107"/>
    </row>
    <row r="919" spans="1:22">
      <c r="A919" s="152" t="s">
        <v>1634</v>
      </c>
      <c r="B919" s="59">
        <f>+B918+1</f>
        <v>911</v>
      </c>
      <c r="C919" s="102">
        <v>14.1</v>
      </c>
      <c r="D919" s="92" t="str">
        <f>+A919</f>
        <v>(M009) Herpes simplex PCR</v>
      </c>
      <c r="E919" s="148"/>
      <c r="T919" s="148"/>
      <c r="U919" s="108"/>
      <c r="V919" s="107"/>
    </row>
    <row r="920" spans="1:22">
      <c r="A920" s="152" t="s">
        <v>1635</v>
      </c>
      <c r="B920" s="59">
        <f>+B919+1</f>
        <v>912</v>
      </c>
      <c r="C920" s="102">
        <v>18.4</v>
      </c>
      <c r="D920" s="92" t="str">
        <f>+A920</f>
        <v>(M010) Norovirus PCR</v>
      </c>
      <c r="E920" s="148"/>
      <c r="T920" s="148"/>
      <c r="U920" s="108"/>
      <c r="V920" s="107"/>
    </row>
    <row r="921" spans="1:22">
      <c r="A921" s="152" t="s">
        <v>1636</v>
      </c>
      <c r="B921" s="59">
        <f>+B920+1</f>
        <v>913</v>
      </c>
      <c r="C921" s="102">
        <v>0</v>
      </c>
      <c r="D921" s="92" t="str">
        <f>+A921</f>
        <v>(M012) MENINGITIS PCR</v>
      </c>
      <c r="E921" s="148"/>
      <c r="T921" s="148"/>
      <c r="U921" s="108"/>
      <c r="V921" s="107"/>
    </row>
    <row r="922" spans="1:22">
      <c r="A922" s="152" t="s">
        <v>1637</v>
      </c>
      <c r="B922" s="59">
        <f>+B921+1</f>
        <v>914</v>
      </c>
      <c r="C922" s="102">
        <v>14.2</v>
      </c>
      <c r="D922" s="92" t="str">
        <f>+A922</f>
        <v>(M013) RSV PCR</v>
      </c>
      <c r="E922" s="148"/>
      <c r="T922" s="148"/>
      <c r="U922" s="108"/>
      <c r="V922" s="107"/>
    </row>
    <row r="923" spans="1:22">
      <c r="A923" s="152" t="s">
        <v>1638</v>
      </c>
      <c r="B923" s="59">
        <f>+B922+1</f>
        <v>915</v>
      </c>
      <c r="C923" s="102">
        <v>37.82</v>
      </c>
      <c r="D923" s="92" t="str">
        <f>+A923</f>
        <v>(M016) Hepatitis B DNA</v>
      </c>
      <c r="E923" s="148"/>
      <c r="T923" s="148"/>
      <c r="U923" s="108"/>
      <c r="V923" s="107"/>
    </row>
    <row r="924" spans="1:22">
      <c r="A924" s="152" t="s">
        <v>1639</v>
      </c>
      <c r="B924" s="59">
        <f>+B923+1</f>
        <v>916</v>
      </c>
      <c r="C924" s="102">
        <v>18.93</v>
      </c>
      <c r="D924" s="92" t="str">
        <f>+A924</f>
        <v>(M017) Parainfluenza virus PCR</v>
      </c>
      <c r="E924" s="148"/>
      <c r="T924" s="148"/>
      <c r="U924" s="108"/>
      <c r="V924" s="107"/>
    </row>
    <row r="925" spans="1:22">
      <c r="A925" s="152" t="s">
        <v>1640</v>
      </c>
      <c r="B925" s="59">
        <f>+B924+1</f>
        <v>917</v>
      </c>
      <c r="C925" s="102">
        <v>20</v>
      </c>
      <c r="D925" s="92" t="str">
        <f>+A925</f>
        <v>(M019) Varicella zoster PCR</v>
      </c>
      <c r="E925" s="148"/>
      <c r="T925" s="148"/>
      <c r="U925" s="108"/>
      <c r="V925" s="107"/>
    </row>
    <row r="926" spans="1:22">
      <c r="A926" s="152" t="s">
        <v>1641</v>
      </c>
      <c r="B926" s="59">
        <f>+B925+1</f>
        <v>918</v>
      </c>
      <c r="C926" s="102">
        <v>25</v>
      </c>
      <c r="D926" s="92" t="str">
        <f>+A926</f>
        <v>(M021) Avian influenza H5 PCR</v>
      </c>
      <c r="E926" s="148"/>
      <c r="T926" s="148"/>
      <c r="U926" s="108"/>
      <c r="V926" s="107"/>
    </row>
    <row r="927" spans="1:22" ht="13">
      <c r="A927" s="153" t="s">
        <v>1642</v>
      </c>
      <c r="B927" s="59">
        <f>+B926+1</f>
        <v>919</v>
      </c>
      <c r="C927" s="102">
        <f>+V927</f>
        <v>0</v>
      </c>
      <c r="D927" s="92" t="str">
        <f>+A927</f>
        <v>Histo_Immunogenetics</v>
      </c>
      <c r="E927" s="90"/>
      <c r="T927" s="153" t="s">
        <v>1643</v>
      </c>
      <c r="U927" s="109"/>
      <c r="V927" s="107"/>
    </row>
    <row r="928" spans="1:22">
      <c r="A928" s="154" t="str">
        <f>+T928</f>
        <v>HLA B57</v>
      </c>
      <c r="B928" s="59">
        <f>+B927+1</f>
        <v>920</v>
      </c>
      <c r="C928" s="102">
        <f>+V928</f>
        <v>68.2</v>
      </c>
      <c r="D928" s="92" t="str">
        <f>+A928</f>
        <v>HLA B57</v>
      </c>
      <c r="E928" s="154"/>
      <c r="T928" s="154" t="s">
        <v>1572</v>
      </c>
      <c r="U928" s="108" t="s">
        <v>1644</v>
      </c>
      <c r="V928" s="107">
        <v>68.2</v>
      </c>
    </row>
    <row r="929" spans="1:22">
      <c r="A929" s="154" t="str">
        <f>+T929</f>
        <v>BEHCETS</v>
      </c>
      <c r="B929" s="59">
        <f>+B928+1</f>
        <v>921</v>
      </c>
      <c r="C929" s="102">
        <f>+V929</f>
        <v>139.7</v>
      </c>
      <c r="D929" s="92" t="str">
        <f>+A929</f>
        <v>BEHCETS</v>
      </c>
      <c r="E929" s="154"/>
      <c r="T929" s="154" t="s">
        <v>1573</v>
      </c>
      <c r="U929" s="108" t="s">
        <v>1645</v>
      </c>
      <c r="V929" s="107">
        <v>139.7</v>
      </c>
    </row>
    <row r="930" spans="1:22">
      <c r="A930" s="154" t="str">
        <f>+T930</f>
        <v>FULL HLA CLASS 1+11 </v>
      </c>
      <c r="B930" s="59">
        <f>+B929+1</f>
        <v>922</v>
      </c>
      <c r="C930" s="102">
        <f>+V930</f>
        <v>241</v>
      </c>
      <c r="D930" s="92" t="str">
        <f>+A930</f>
        <v>FULL HLA CLASS 1+11 </v>
      </c>
      <c r="E930" s="154"/>
      <c r="T930" s="154" t="s">
        <v>1575</v>
      </c>
      <c r="U930" s="108" t="s">
        <v>1646</v>
      </c>
      <c r="V930" s="107">
        <v>241</v>
      </c>
    </row>
    <row r="931" spans="1:22">
      <c r="A931" s="154" t="str">
        <f>+T931</f>
        <v>HIGH RESOLUTION CLASS II TYPING</v>
      </c>
      <c r="B931" s="59">
        <f>+B930+1</f>
        <v>923</v>
      </c>
      <c r="C931" s="102">
        <f>+V931</f>
        <v>161.1</v>
      </c>
      <c r="D931" s="92" t="str">
        <f>+A931</f>
        <v>HIGH RESOLUTION CLASS II TYPING</v>
      </c>
      <c r="E931" s="154"/>
      <c r="T931" s="154" t="s">
        <v>1578</v>
      </c>
      <c r="U931" s="108" t="s">
        <v>1647</v>
      </c>
      <c r="V931" s="107">
        <v>161.1</v>
      </c>
    </row>
    <row r="932" spans="1:22">
      <c r="A932" s="154" t="str">
        <f>+T932</f>
        <v>HLA TYPEING FOR LUDWIG STUDY</v>
      </c>
      <c r="B932" s="59">
        <f>+B931+1</f>
        <v>924</v>
      </c>
      <c r="C932" s="102">
        <f>+V932</f>
        <v>120.8</v>
      </c>
      <c r="D932" s="92" t="str">
        <f>+A932</f>
        <v>HLA TYPEING FOR LUDWIG STUDY</v>
      </c>
      <c r="E932" s="154"/>
      <c r="T932" s="154" t="s">
        <v>1580</v>
      </c>
      <c r="U932" s="108" t="s">
        <v>1648</v>
      </c>
      <c r="V932" s="107">
        <v>120.8</v>
      </c>
    </row>
    <row r="933" spans="1:22">
      <c r="A933" s="154" t="str">
        <f>+T933</f>
        <v>CLASS 1 MATCHED PLATELETS</v>
      </c>
      <c r="B933" s="59">
        <f>+B932+1</f>
        <v>925</v>
      </c>
      <c r="C933" s="102">
        <f>+V933</f>
        <v>139.7</v>
      </c>
      <c r="D933" s="92" t="str">
        <f>+A933</f>
        <v>CLASS 1 MATCHED PLATELETS</v>
      </c>
      <c r="E933" s="154"/>
      <c r="T933" s="154" t="s">
        <v>1581</v>
      </c>
      <c r="U933" s="108" t="s">
        <v>1649</v>
      </c>
      <c r="V933" s="107">
        <v>139.7</v>
      </c>
    </row>
    <row r="934" spans="1:22">
      <c r="A934" s="154" t="str">
        <f>+T934</f>
        <v>HLA CLASS 1 (A-B) </v>
      </c>
      <c r="B934" s="59">
        <f>+B933+1</f>
        <v>926</v>
      </c>
      <c r="C934" s="102">
        <f>+V934</f>
        <v>120.8</v>
      </c>
      <c r="D934" s="92" t="str">
        <f>+A934</f>
        <v>HLA CLASS 1 (A-B) </v>
      </c>
      <c r="E934" s="154"/>
      <c r="T934" s="154" t="s">
        <v>1583</v>
      </c>
      <c r="U934" s="108" t="s">
        <v>1650</v>
      </c>
      <c r="V934" s="107">
        <v>120.8</v>
      </c>
    </row>
    <row r="935" spans="1:22">
      <c r="A935" s="154" t="str">
        <f>+T935</f>
        <v>HLA CLASS 11 (DR- DQ) </v>
      </c>
      <c r="B935" s="59">
        <f>+B934+1</f>
        <v>927</v>
      </c>
      <c r="C935" s="102">
        <f>+V935</f>
        <v>94.4</v>
      </c>
      <c r="D935" s="92" t="str">
        <f>+A935</f>
        <v>HLA CLASS 11 (DR- DQ) </v>
      </c>
      <c r="E935" s="154"/>
      <c r="T935" s="154" t="s">
        <v>1585</v>
      </c>
      <c r="U935" s="108" t="s">
        <v>1651</v>
      </c>
      <c r="V935" s="107">
        <v>94.4</v>
      </c>
    </row>
    <row r="936" spans="1:22">
      <c r="A936" s="154" t="str">
        <f>+T936</f>
        <v>HEAMOCHROMATOSIS GENOTYPE</v>
      </c>
      <c r="B936" s="59">
        <f>+B935+1</f>
        <v>928</v>
      </c>
      <c r="C936" s="102">
        <f>+V936</f>
        <v>43.6</v>
      </c>
      <c r="D936" s="92" t="str">
        <f>+A936</f>
        <v>HEAMOCHROMATOSIS GENOTYPE</v>
      </c>
      <c r="E936" s="154"/>
      <c r="T936" s="154" t="s">
        <v>1587</v>
      </c>
      <c r="U936" s="108" t="s">
        <v>1652</v>
      </c>
      <c r="V936" s="107">
        <v>43.6</v>
      </c>
    </row>
    <row r="937" spans="1:22">
      <c r="A937" s="154" t="str">
        <f>+T937</f>
        <v>INAPPROPRIATE SAMPLE</v>
      </c>
      <c r="B937" s="59">
        <f>+B936+1</f>
        <v>929</v>
      </c>
      <c r="C937" s="102">
        <f>+V937</f>
        <v>7.7</v>
      </c>
      <c r="D937" s="92" t="str">
        <f>+A937</f>
        <v>INAPPROPRIATE SAMPLE</v>
      </c>
      <c r="E937" s="154"/>
      <c r="T937" s="154" t="s">
        <v>1589</v>
      </c>
      <c r="U937" s="108" t="s">
        <v>1653</v>
      </c>
      <c r="V937" s="107">
        <v>7.7</v>
      </c>
    </row>
    <row r="938" spans="1:22">
      <c r="A938" s="154" t="str">
        <f>+T938</f>
        <v>NARCOLEPSY</v>
      </c>
      <c r="B938" s="59">
        <f>+B937+1</f>
        <v>930</v>
      </c>
      <c r="C938" s="102">
        <f>+V938</f>
        <v>101.8</v>
      </c>
      <c r="D938" s="92" t="str">
        <f>+A938</f>
        <v>NARCOLEPSY</v>
      </c>
      <c r="E938" s="154"/>
      <c r="T938" s="154" t="s">
        <v>1591</v>
      </c>
      <c r="U938" s="108" t="s">
        <v>1654</v>
      </c>
      <c r="V938" s="107">
        <v>101.8</v>
      </c>
    </row>
    <row r="939" spans="1:22">
      <c r="A939" s="154" t="str">
        <f>+T939</f>
        <v>FACTOR V LEIDEN</v>
      </c>
      <c r="B939" s="59">
        <f>+B938+1</f>
        <v>931</v>
      </c>
      <c r="C939" s="102">
        <f>+V939</f>
        <v>28.1</v>
      </c>
      <c r="D939" s="92" t="str">
        <f>+A939</f>
        <v>FACTOR V LEIDEN</v>
      </c>
      <c r="E939" s="154"/>
      <c r="T939" s="154" t="s">
        <v>1593</v>
      </c>
      <c r="U939" s="108" t="s">
        <v>1655</v>
      </c>
      <c r="V939" s="107">
        <v>28.1</v>
      </c>
    </row>
    <row r="940" spans="1:22">
      <c r="A940" s="154" t="str">
        <f>+T940</f>
        <v>METHALINE TETRAHYDRA FOLATE REDUCTASE</v>
      </c>
      <c r="B940" s="59">
        <f>+B939+1</f>
        <v>932</v>
      </c>
      <c r="C940" s="102">
        <f>+V940</f>
        <v>28.1</v>
      </c>
      <c r="D940" s="92" t="str">
        <f>+A940</f>
        <v>METHALINE TETRAHYDRA FOLATE REDUCTASE</v>
      </c>
      <c r="E940" s="154"/>
      <c r="T940" s="154" t="s">
        <v>1595</v>
      </c>
      <c r="U940" s="108" t="s">
        <v>1656</v>
      </c>
      <c r="V940" s="107">
        <v>28.1</v>
      </c>
    </row>
    <row r="941" spans="1:22">
      <c r="A941" s="154" t="str">
        <f>+T941</f>
        <v>FACTOR II MUTATION</v>
      </c>
      <c r="B941" s="59">
        <f>+B940+1</f>
        <v>933</v>
      </c>
      <c r="C941" s="102">
        <f>+V941</f>
        <v>28.1</v>
      </c>
      <c r="D941" s="92" t="str">
        <f>+A941</f>
        <v>FACTOR II MUTATION</v>
      </c>
      <c r="E941" s="154"/>
      <c r="T941" s="154" t="s">
        <v>1598</v>
      </c>
      <c r="U941" s="108" t="s">
        <v>1657</v>
      </c>
      <c r="V941" s="107">
        <v>28.1</v>
      </c>
    </row>
    <row r="942" spans="1:22">
      <c r="A942" s="154" t="str">
        <f>+T942</f>
        <v>HLA CLASS 1 DESEASE ASSOCIATED STUDIES</v>
      </c>
      <c r="B942" s="59">
        <f>+B941+1</f>
        <v>934</v>
      </c>
      <c r="C942" s="102">
        <f>+V942</f>
        <v>139.7</v>
      </c>
      <c r="D942" s="92" t="str">
        <f>+A942</f>
        <v>HLA CLASS 1 DESEASE ASSOCIATED STUDIES</v>
      </c>
      <c r="E942" s="154"/>
      <c r="T942" s="154" t="s">
        <v>1600</v>
      </c>
      <c r="U942" s="155" t="s">
        <v>1658</v>
      </c>
      <c r="V942" s="107">
        <v>139.7</v>
      </c>
    </row>
    <row r="943" spans="1:22">
      <c r="A943" s="154" t="str">
        <f>+T943</f>
        <v>HLA CLASS 1 DESEASE ASSOCIATED STUDIES</v>
      </c>
      <c r="B943" s="59">
        <f>+B942+1</f>
        <v>935</v>
      </c>
      <c r="C943" s="102">
        <f>+V943</f>
        <v>101.8</v>
      </c>
      <c r="D943" s="92" t="str">
        <f>+A943</f>
        <v>HLA CLASS 1 DESEASE ASSOCIATED STUDIES</v>
      </c>
      <c r="E943" s="154"/>
      <c r="T943" s="154" t="s">
        <v>1600</v>
      </c>
      <c r="U943" s="155" t="s">
        <v>1659</v>
      </c>
      <c r="V943" s="107">
        <v>101.8</v>
      </c>
    </row>
    <row r="944" spans="1:22">
      <c r="A944" s="154" t="str">
        <f>+T944</f>
        <v>CHIMERISM PRIOR TO TRANSPLANT</v>
      </c>
      <c r="B944" s="59">
        <f>+B943+1</f>
        <v>936</v>
      </c>
      <c r="C944" s="102">
        <f>+V944</f>
        <v>168.4</v>
      </c>
      <c r="D944" s="92" t="str">
        <f>+A944</f>
        <v>CHIMERISM PRIOR TO TRANSPLANT</v>
      </c>
      <c r="E944" s="156"/>
      <c r="T944" s="154" t="s">
        <v>1602</v>
      </c>
      <c r="U944" s="155" t="s">
        <v>1660</v>
      </c>
      <c r="V944" s="107">
        <v>168.4</v>
      </c>
    </row>
    <row r="945" spans="1:22">
      <c r="A945" s="154" t="str">
        <f>+T945</f>
        <v>CHIMERISM POST TO TRANSPLANT</v>
      </c>
      <c r="B945" s="59">
        <f>+B944+1</f>
        <v>937</v>
      </c>
      <c r="C945" s="102">
        <f>+V945</f>
        <v>76.7</v>
      </c>
      <c r="D945" s="92" t="str">
        <f>+A945</f>
        <v>CHIMERISM POST TO TRANSPLANT</v>
      </c>
      <c r="E945" s="156"/>
      <c r="T945" s="154" t="s">
        <v>1604</v>
      </c>
      <c r="U945" s="155" t="s">
        <v>1661</v>
      </c>
      <c r="V945" s="107">
        <v>76.7</v>
      </c>
    </row>
    <row r="946" spans="1:22">
      <c r="A946" s="154" t="str">
        <f>+T946</f>
        <v>ALDOSTERONE/RENIN RATIO</v>
      </c>
      <c r="B946" s="59">
        <f>+B945+1</f>
        <v>938</v>
      </c>
      <c r="C946" s="102">
        <f>+V946</f>
        <v>53.1</v>
      </c>
      <c r="D946" s="92" t="str">
        <f>+A946</f>
        <v>ALDOSTERONE/RENIN RATIO</v>
      </c>
      <c r="E946" s="156"/>
      <c r="T946" s="154" t="s">
        <v>282</v>
      </c>
      <c r="U946" s="111" t="s">
        <v>1662</v>
      </c>
      <c r="V946" s="107">
        <f>29+24.1</f>
        <v>53.1</v>
      </c>
    </row>
    <row r="947" spans="1:22">
      <c r="A947" s="154" t="str">
        <f>+T947</f>
        <v>PRIMARY B CELL SCREEN</v>
      </c>
      <c r="B947" s="59">
        <f>+B946+1</f>
        <v>939</v>
      </c>
      <c r="C947" s="102">
        <f>+V947</f>
        <v>60</v>
      </c>
      <c r="D947" s="92" t="str">
        <f>+A947</f>
        <v>PRIMARY B CELL SCREEN</v>
      </c>
      <c r="E947" s="156"/>
      <c r="T947" s="154" t="s">
        <v>1606</v>
      </c>
      <c r="U947" s="108" t="s">
        <v>1663</v>
      </c>
      <c r="V947" s="107">
        <v>60</v>
      </c>
    </row>
    <row r="948" spans="1:22">
      <c r="A948" s="154" t="str">
        <f>+T948</f>
        <v>MYELOMA MONITORING</v>
      </c>
      <c r="B948" s="59">
        <f>+B947+1</f>
        <v>940</v>
      </c>
      <c r="C948" s="102">
        <f>+V948</f>
        <v>60</v>
      </c>
      <c r="D948" s="92" t="str">
        <f>+A948</f>
        <v>MYELOMA MONITORING</v>
      </c>
      <c r="E948" s="156"/>
      <c r="T948" s="154" t="s">
        <v>1609</v>
      </c>
      <c r="U948" s="108" t="s">
        <v>1664</v>
      </c>
      <c r="V948" s="107">
        <v>60</v>
      </c>
    </row>
    <row r="949" spans="1:22">
      <c r="A949" s="154" t="s">
        <v>1665</v>
      </c>
      <c r="B949" s="59">
        <f>+B948+1</f>
        <v>941</v>
      </c>
      <c r="C949" s="102">
        <v>15.5</v>
      </c>
      <c r="D949" s="92" t="str">
        <f>+A949</f>
        <v>Parafin Block</v>
      </c>
      <c r="E949" s="156"/>
      <c r="T949" s="154" t="s">
        <v>1666</v>
      </c>
      <c r="U949" s="108"/>
      <c r="V949" s="107"/>
    </row>
    <row r="950" spans="1:22">
      <c r="A950" s="154" t="s">
        <v>1667</v>
      </c>
      <c r="B950" s="59">
        <f>+B949+1</f>
        <v>942</v>
      </c>
      <c r="C950" s="102">
        <v>15.5</v>
      </c>
      <c r="D950" s="92" t="str">
        <f>+A950</f>
        <v>Tumour Block</v>
      </c>
      <c r="E950" s="156"/>
      <c r="T950" s="154" t="s">
        <v>1666</v>
      </c>
      <c r="U950" s="108"/>
      <c r="V950" s="107"/>
    </row>
    <row r="951" spans="1:22">
      <c r="A951" s="154" t="str">
        <f>+T951</f>
        <v>(001) Urines</v>
      </c>
      <c r="B951" s="59">
        <f>+B950+1</f>
        <v>943</v>
      </c>
      <c r="C951" s="102">
        <f>+V951</f>
        <v>3.68</v>
      </c>
      <c r="D951" s="92" t="str">
        <f>+A951</f>
        <v>(001) Urines</v>
      </c>
      <c r="E951" s="156"/>
      <c r="T951" s="154" t="s">
        <v>1612</v>
      </c>
      <c r="U951" s="108" t="s">
        <v>1668</v>
      </c>
      <c r="V951" s="107">
        <v>3.68</v>
      </c>
    </row>
    <row r="952" spans="1:22">
      <c r="A952" s="154" t="str">
        <f>+T952</f>
        <v>(002) Wound</v>
      </c>
      <c r="B952" s="59">
        <f>+B951+1</f>
        <v>944</v>
      </c>
      <c r="C952" s="102">
        <f>+V952</f>
        <v>7.62</v>
      </c>
      <c r="D952" s="92" t="str">
        <f>+A952</f>
        <v>(002) Wound</v>
      </c>
      <c r="E952" s="156"/>
      <c r="T952" s="154" t="s">
        <v>1613</v>
      </c>
      <c r="U952" s="108" t="s">
        <v>1669</v>
      </c>
      <c r="V952" s="107">
        <v>7.62</v>
      </c>
    </row>
    <row r="953" spans="1:22">
      <c r="A953" s="154" t="str">
        <f>+T953</f>
        <v>(003) Tissue</v>
      </c>
      <c r="B953" s="59">
        <f>+B952+1</f>
        <v>945</v>
      </c>
      <c r="C953" s="102">
        <f>+V953</f>
        <v>13.99</v>
      </c>
      <c r="D953" s="92" t="str">
        <f>+A953</f>
        <v>(003) Tissue</v>
      </c>
      <c r="E953" s="156"/>
      <c r="T953" s="154" t="s">
        <v>1614</v>
      </c>
      <c r="U953" s="108" t="s">
        <v>1670</v>
      </c>
      <c r="V953" s="107">
        <v>13.99</v>
      </c>
    </row>
    <row r="954" spans="1:22">
      <c r="A954" s="154" t="str">
        <f>+T954</f>
        <v>(004) Fluid samples</v>
      </c>
      <c r="B954" s="59">
        <f>+B953+1</f>
        <v>946</v>
      </c>
      <c r="C954" s="102">
        <f>+V954</f>
        <v>9.92</v>
      </c>
      <c r="D954" s="92" t="str">
        <f>+A954</f>
        <v>(004) Fluid samples</v>
      </c>
      <c r="E954" s="156"/>
      <c r="T954" s="154" t="s">
        <v>1615</v>
      </c>
      <c r="U954" s="108" t="s">
        <v>1670</v>
      </c>
      <c r="V954" s="107">
        <v>9.92</v>
      </c>
    </row>
    <row r="955" spans="1:22">
      <c r="A955" s="154" t="str">
        <f>+T955</f>
        <v>(005) CSF (spinal fluids)</v>
      </c>
      <c r="B955" s="59">
        <f>+B954+1</f>
        <v>947</v>
      </c>
      <c r="C955" s="102">
        <f>+V955</f>
        <v>9.69</v>
      </c>
      <c r="D955" s="92" t="str">
        <f>+A955</f>
        <v>(005) CSF (spinal fluids)</v>
      </c>
      <c r="E955" s="156"/>
      <c r="T955" s="154" t="s">
        <v>1616</v>
      </c>
      <c r="U955" s="108" t="s">
        <v>1671</v>
      </c>
      <c r="V955" s="107">
        <v>9.69</v>
      </c>
    </row>
    <row r="956" spans="1:22">
      <c r="A956" s="154" t="str">
        <f>+T956</f>
        <v>(006) MRSA swabs</v>
      </c>
      <c r="B956" s="59">
        <f>+B955+1</f>
        <v>948</v>
      </c>
      <c r="C956" s="102">
        <f>+V956</f>
        <v>4.03</v>
      </c>
      <c r="D956" s="92" t="str">
        <f>+A956</f>
        <v>(006) MRSA swabs</v>
      </c>
      <c r="E956" s="156"/>
      <c r="T956" s="154" t="s">
        <v>1617</v>
      </c>
      <c r="U956" s="108" t="s">
        <v>1672</v>
      </c>
      <c r="V956" s="107">
        <v>4.03</v>
      </c>
    </row>
    <row r="957" spans="1:22">
      <c r="A957" s="154" t="str">
        <f>+T957</f>
        <v>(008) Genital swabs</v>
      </c>
      <c r="B957" s="59">
        <f>+B956+1</f>
        <v>949</v>
      </c>
      <c r="C957" s="102">
        <f>+V957</f>
        <v>4.15</v>
      </c>
      <c r="D957" s="92" t="str">
        <f>+A957</f>
        <v>(008) Genital swabs</v>
      </c>
      <c r="E957" s="156"/>
      <c r="T957" s="154" t="s">
        <v>1618</v>
      </c>
      <c r="U957" s="108" t="s">
        <v>1673</v>
      </c>
      <c r="V957" s="107">
        <v>4.15</v>
      </c>
    </row>
    <row r="958" spans="1:22">
      <c r="A958" s="154" t="str">
        <f>+T958</f>
        <v>(009) URT (throat swab)</v>
      </c>
      <c r="B958" s="59">
        <f>+B957+1</f>
        <v>950</v>
      </c>
      <c r="C958" s="102">
        <f>+V958</f>
        <v>5.69</v>
      </c>
      <c r="D958" s="92" t="str">
        <f>+A958</f>
        <v>(009) URT (throat swab)</v>
      </c>
      <c r="E958" s="156"/>
      <c r="T958" s="154" t="s">
        <v>1619</v>
      </c>
      <c r="U958" s="108" t="s">
        <v>1669</v>
      </c>
      <c r="V958" s="107">
        <v>5.69</v>
      </c>
    </row>
    <row r="959" spans="1:22">
      <c r="A959" s="154" t="str">
        <f>+T959</f>
        <v>(011) LRT (sputum)</v>
      </c>
      <c r="B959" s="59">
        <f>+B958+1</f>
        <v>951</v>
      </c>
      <c r="C959" s="102">
        <f>+V959</f>
        <v>7.6</v>
      </c>
      <c r="D959" s="92" t="str">
        <f>+A959</f>
        <v>(011) LRT (sputum)</v>
      </c>
      <c r="E959" s="156"/>
      <c r="T959" s="154" t="s">
        <v>1620</v>
      </c>
      <c r="U959" s="108" t="s">
        <v>1674</v>
      </c>
      <c r="V959" s="107">
        <v>7.6</v>
      </c>
    </row>
    <row r="960" spans="1:22">
      <c r="A960" s="154" t="str">
        <f>+T960</f>
        <v>(012) Faecal samples</v>
      </c>
      <c r="B960" s="59">
        <f>+B959+1</f>
        <v>952</v>
      </c>
      <c r="C960" s="102">
        <f>+V960</f>
        <v>6.99</v>
      </c>
      <c r="D960" s="92" t="str">
        <f>+A960</f>
        <v>(012) Faecal samples</v>
      </c>
      <c r="E960" s="156"/>
      <c r="T960" s="154" t="s">
        <v>1621</v>
      </c>
      <c r="U960" s="108" t="s">
        <v>1675</v>
      </c>
      <c r="V960" s="107">
        <v>6.99</v>
      </c>
    </row>
    <row r="961" spans="1:22">
      <c r="A961" s="154" t="str">
        <f>+T961</f>
        <v>(014) Blood culture</v>
      </c>
      <c r="B961" s="59">
        <f>+B960+1</f>
        <v>953</v>
      </c>
      <c r="C961" s="102">
        <f>+V961</f>
        <v>7.04</v>
      </c>
      <c r="D961" s="92" t="str">
        <f>+A961</f>
        <v>(014) Blood culture</v>
      </c>
      <c r="E961" s="156"/>
      <c r="T961" s="154" t="s">
        <v>1622</v>
      </c>
      <c r="U961" s="108" t="s">
        <v>1676</v>
      </c>
      <c r="V961" s="107">
        <v>7.04</v>
      </c>
    </row>
    <row r="962" spans="1:22">
      <c r="A962" s="154" t="str">
        <f>+T962</f>
        <v>(017) Mycology</v>
      </c>
      <c r="B962" s="59">
        <f>+B961+1</f>
        <v>954</v>
      </c>
      <c r="C962" s="102">
        <f>+V962</f>
        <v>10.36</v>
      </c>
      <c r="D962" s="92" t="str">
        <f>+A962</f>
        <v>(017) Mycology</v>
      </c>
      <c r="E962" s="156"/>
      <c r="T962" s="154" t="s">
        <v>1623</v>
      </c>
      <c r="U962" s="108" t="s">
        <v>1677</v>
      </c>
      <c r="V962" s="107">
        <v>10.36</v>
      </c>
    </row>
    <row r="963" spans="1:22">
      <c r="A963" s="154" t="str">
        <f>+T963</f>
        <v>(018) Mycobacteria (TB)</v>
      </c>
      <c r="B963" s="59">
        <f>+B962+1</f>
        <v>955</v>
      </c>
      <c r="C963" s="102">
        <f>+V963</f>
        <v>19.08</v>
      </c>
      <c r="D963" s="92" t="str">
        <f>+A963</f>
        <v>(018) Mycobacteria (TB)</v>
      </c>
      <c r="E963" s="156"/>
      <c r="T963" s="154" t="s">
        <v>1624</v>
      </c>
      <c r="U963" s="108" t="s">
        <v>1678</v>
      </c>
      <c r="V963" s="107">
        <v>19.08</v>
      </c>
    </row>
    <row r="964" spans="1:22">
      <c r="A964" s="154" t="str">
        <f>+T964</f>
        <v>(019) Parasitology</v>
      </c>
      <c r="B964" s="59">
        <f>+B963+1</f>
        <v>956</v>
      </c>
      <c r="C964" s="102">
        <f>+V964</f>
        <v>6.49</v>
      </c>
      <c r="D964" s="92" t="str">
        <f>+A964</f>
        <v>(019) Parasitology</v>
      </c>
      <c r="E964" s="156"/>
      <c r="T964" s="154" t="s">
        <v>1625</v>
      </c>
      <c r="U964" s="108" t="s">
        <v>1679</v>
      </c>
      <c r="V964" s="107">
        <v>6.49</v>
      </c>
    </row>
    <row r="965" spans="1:22">
      <c r="A965" s="154" t="str">
        <f>+T965</f>
        <v>(023) Clostridium difficile toxin</v>
      </c>
      <c r="B965" s="59">
        <f>+B964+1</f>
        <v>957</v>
      </c>
      <c r="C965" s="102">
        <f>+V965</f>
        <v>7.48</v>
      </c>
      <c r="D965" s="92" t="str">
        <f>+A965</f>
        <v>(023) Clostridium difficile toxin</v>
      </c>
      <c r="E965" s="156"/>
      <c r="T965" s="154" t="s">
        <v>1626</v>
      </c>
      <c r="U965" s="108" t="s">
        <v>1680</v>
      </c>
      <c r="V965" s="107">
        <v>7.48</v>
      </c>
    </row>
    <row r="966" spans="1:22">
      <c r="A966" s="154" t="str">
        <f>+T966</f>
        <v>(M001) Adenovirus PCR</v>
      </c>
      <c r="B966" s="59">
        <f>+B965+1</f>
        <v>958</v>
      </c>
      <c r="C966" s="102">
        <f>+V966</f>
        <v>11.97</v>
      </c>
      <c r="D966" s="92" t="str">
        <f>+A966</f>
        <v>(M001) Adenovirus PCR</v>
      </c>
      <c r="E966" s="156"/>
      <c r="T966" s="154" t="s">
        <v>1627</v>
      </c>
      <c r="U966" s="108" t="s">
        <v>1681</v>
      </c>
      <c r="V966" s="107">
        <v>11.97</v>
      </c>
    </row>
    <row r="967" spans="1:22">
      <c r="A967" s="154" t="str">
        <f>+T967</f>
        <v>(M002) Cytomegalovirus PCR</v>
      </c>
      <c r="B967" s="59">
        <f>+B966+1</f>
        <v>959</v>
      </c>
      <c r="C967" s="102">
        <f>+V967</f>
        <v>19.52</v>
      </c>
      <c r="D967" s="92" t="str">
        <f>+A967</f>
        <v>(M002) Cytomegalovirus PCR</v>
      </c>
      <c r="E967" s="156"/>
      <c r="T967" s="154" t="s">
        <v>1628</v>
      </c>
      <c r="U967" s="108" t="s">
        <v>1682</v>
      </c>
      <c r="V967" s="107">
        <v>19.52</v>
      </c>
    </row>
    <row r="968" spans="1:22">
      <c r="A968" s="154" t="str">
        <f>+T968</f>
        <v>(M003) Hepatitis C RNA</v>
      </c>
      <c r="B968" s="59">
        <f>+B967+1</f>
        <v>960</v>
      </c>
      <c r="C968" s="102">
        <f>+V968</f>
        <v>14.98</v>
      </c>
      <c r="D968" s="92" t="str">
        <f>+A968</f>
        <v>(M003) Hepatitis C RNA</v>
      </c>
      <c r="E968" s="156"/>
      <c r="T968" s="154" t="s">
        <v>1629</v>
      </c>
      <c r="U968" s="108" t="s">
        <v>1683</v>
      </c>
      <c r="V968" s="107">
        <v>14.98</v>
      </c>
    </row>
    <row r="969" spans="1:22">
      <c r="A969" s="154" t="str">
        <f>+T969</f>
        <v>(M005) Enterovirus PCR</v>
      </c>
      <c r="B969" s="59">
        <f>+B968+1</f>
        <v>961</v>
      </c>
      <c r="C969" s="102">
        <f>+V969</f>
        <v>20</v>
      </c>
      <c r="D969" s="92" t="str">
        <f>+A969</f>
        <v>(M005) Enterovirus PCR</v>
      </c>
      <c r="E969" s="156"/>
      <c r="T969" s="154" t="s">
        <v>1630</v>
      </c>
      <c r="U969" s="108" t="s">
        <v>1684</v>
      </c>
      <c r="V969" s="107">
        <v>20</v>
      </c>
    </row>
    <row r="970" spans="1:22">
      <c r="A970" s="154" t="str">
        <f>+T970</f>
        <v>(M006) EBV DNA</v>
      </c>
      <c r="B970" s="59">
        <f>+B969+1</f>
        <v>962</v>
      </c>
      <c r="C970" s="102">
        <f>+V970</f>
        <v>26.83</v>
      </c>
      <c r="D970" s="92" t="str">
        <f>+A970</f>
        <v>(M006) EBV DNA</v>
      </c>
      <c r="E970" s="156"/>
      <c r="T970" s="154" t="s">
        <v>1631</v>
      </c>
      <c r="U970" s="108" t="s">
        <v>1685</v>
      </c>
      <c r="V970" s="107">
        <v>26.83</v>
      </c>
    </row>
    <row r="971" spans="1:22">
      <c r="A971" s="154" t="str">
        <f>+T971</f>
        <v>(M007) Influenza A PCR</v>
      </c>
      <c r="B971" s="59">
        <f>+B970+1</f>
        <v>963</v>
      </c>
      <c r="C971" s="102">
        <f>+V971</f>
        <v>19.98</v>
      </c>
      <c r="D971" s="92" t="str">
        <f>+A971</f>
        <v>(M007) Influenza A PCR</v>
      </c>
      <c r="E971" s="156"/>
      <c r="T971" s="154" t="s">
        <v>1632</v>
      </c>
      <c r="U971" s="108" t="s">
        <v>1686</v>
      </c>
      <c r="V971" s="107">
        <v>19.98</v>
      </c>
    </row>
    <row r="972" spans="1:22">
      <c r="A972" s="154" t="str">
        <f>+T972</f>
        <v>(M008) Influenza B PCR</v>
      </c>
      <c r="B972" s="59">
        <f>+B971+1</f>
        <v>964</v>
      </c>
      <c r="C972" s="102">
        <f>+V972</f>
        <v>18.62</v>
      </c>
      <c r="D972" s="92" t="str">
        <f>+A972</f>
        <v>(M008) Influenza B PCR</v>
      </c>
      <c r="E972" s="156"/>
      <c r="T972" s="154" t="s">
        <v>1633</v>
      </c>
      <c r="U972" s="108" t="s">
        <v>1687</v>
      </c>
      <c r="V972" s="107">
        <v>18.62</v>
      </c>
    </row>
    <row r="973" spans="1:22">
      <c r="A973" s="154" t="str">
        <f>+T973</f>
        <v>(M009) Herpes simplex PCR</v>
      </c>
      <c r="B973" s="59">
        <f>+B972+1</f>
        <v>965</v>
      </c>
      <c r="C973" s="102">
        <f>+V973</f>
        <v>14.1</v>
      </c>
      <c r="D973" s="92" t="str">
        <f>+A973</f>
        <v>(M009) Herpes simplex PCR</v>
      </c>
      <c r="E973" s="156"/>
      <c r="T973" s="154" t="s">
        <v>1634</v>
      </c>
      <c r="U973" s="108" t="s">
        <v>1688</v>
      </c>
      <c r="V973" s="107">
        <v>14.1</v>
      </c>
    </row>
    <row r="974" spans="1:22">
      <c r="A974" s="154" t="str">
        <f>+T974</f>
        <v>(M010) Norovirus PCR</v>
      </c>
      <c r="B974" s="59">
        <f>+B973+1</f>
        <v>966</v>
      </c>
      <c r="C974" s="102">
        <f>+V974</f>
        <v>18.4</v>
      </c>
      <c r="D974" s="92" t="str">
        <f>+A974</f>
        <v>(M010) Norovirus PCR</v>
      </c>
      <c r="E974" s="156"/>
      <c r="T974" s="154" t="s">
        <v>1635</v>
      </c>
      <c r="U974" s="108" t="s">
        <v>1689</v>
      </c>
      <c r="V974" s="107">
        <v>18.4</v>
      </c>
    </row>
    <row r="975" spans="1:22">
      <c r="A975" s="154" t="str">
        <f>+T975</f>
        <v>(M013) RSV PCR</v>
      </c>
      <c r="B975" s="59">
        <f>+B974+1</f>
        <v>967</v>
      </c>
      <c r="C975" s="102">
        <f>+V975</f>
        <v>14.2</v>
      </c>
      <c r="D975" s="92" t="str">
        <f>+A975</f>
        <v>(M013) RSV PCR</v>
      </c>
      <c r="E975" s="156"/>
      <c r="T975" s="154" t="s">
        <v>1637</v>
      </c>
      <c r="U975" s="108" t="s">
        <v>1690</v>
      </c>
      <c r="V975" s="107">
        <v>14.2</v>
      </c>
    </row>
    <row r="976" spans="1:22">
      <c r="A976" s="154" t="str">
        <f>+T976</f>
        <v>(M016) Hepatitis B DNA</v>
      </c>
      <c r="B976" s="59">
        <f>+B975+1</f>
        <v>968</v>
      </c>
      <c r="C976" s="102">
        <f>+V976</f>
        <v>37.82</v>
      </c>
      <c r="D976" s="92" t="str">
        <f>+A976</f>
        <v>(M016) Hepatitis B DNA</v>
      </c>
      <c r="E976" s="156"/>
      <c r="T976" s="154" t="s">
        <v>1638</v>
      </c>
      <c r="U976" s="108" t="s">
        <v>1691</v>
      </c>
      <c r="V976" s="107">
        <v>37.82</v>
      </c>
    </row>
    <row r="977" spans="1:22">
      <c r="A977" s="154" t="str">
        <f>+T977</f>
        <v>(M017) Parainfluenza virus PCR</v>
      </c>
      <c r="B977" s="59">
        <f>+B976+1</f>
        <v>969</v>
      </c>
      <c r="C977" s="102">
        <f>+V977</f>
        <v>18.93</v>
      </c>
      <c r="D977" s="92" t="str">
        <f>+A977</f>
        <v>(M017) Parainfluenza virus PCR</v>
      </c>
      <c r="E977" s="156"/>
      <c r="T977" s="154" t="s">
        <v>1639</v>
      </c>
      <c r="U977" s="108" t="s">
        <v>1692</v>
      </c>
      <c r="V977" s="107">
        <v>18.93</v>
      </c>
    </row>
    <row r="978" spans="1:22">
      <c r="A978" s="154" t="str">
        <f>+T978</f>
        <v>(M019) Varicella zoster PCR</v>
      </c>
      <c r="B978" s="59">
        <f>+B977+1</f>
        <v>970</v>
      </c>
      <c r="C978" s="102">
        <f>+V978</f>
        <v>20</v>
      </c>
      <c r="D978" s="92" t="str">
        <f>+A978</f>
        <v>(M019) Varicella zoster PCR</v>
      </c>
      <c r="E978" s="156"/>
      <c r="T978" s="154" t="s">
        <v>1640</v>
      </c>
      <c r="U978" s="108" t="s">
        <v>1693</v>
      </c>
      <c r="V978" s="107">
        <v>20</v>
      </c>
    </row>
    <row r="979" spans="1:22">
      <c r="A979" s="154" t="str">
        <f>+T979</f>
        <v>(M021) Avian influenza H5 PCR</v>
      </c>
      <c r="B979" s="59">
        <f>+B978+1</f>
        <v>971</v>
      </c>
      <c r="C979" s="102">
        <f>+V979</f>
        <v>25</v>
      </c>
      <c r="D979" s="92" t="str">
        <f>+A979</f>
        <v>(M021) Avian influenza H5 PCR</v>
      </c>
      <c r="E979" s="156"/>
      <c r="T979" s="154" t="s">
        <v>1641</v>
      </c>
      <c r="U979" s="108" t="s">
        <v>1694</v>
      </c>
      <c r="V979" s="107">
        <v>25</v>
      </c>
    </row>
    <row r="980" spans="1:20" ht="13">
      <c r="A980" s="157" t="s">
        <v>1695</v>
      </c>
      <c r="B980" s="59">
        <f>+B979+1</f>
        <v>972</v>
      </c>
      <c r="C980" s="94">
        <v>0</v>
      </c>
      <c r="D980" s="92" t="str">
        <f>+A980</f>
        <v>Pharmacy</v>
      </c>
      <c r="E980" s="90"/>
      <c r="T980" s="157"/>
    </row>
    <row r="981" spans="1:20">
      <c r="A981" s="158" t="s">
        <v>1696</v>
      </c>
      <c r="B981" s="59">
        <f>+B980+1</f>
        <v>973</v>
      </c>
      <c r="C981" s="102">
        <v>908</v>
      </c>
      <c r="D981" s="92" t="str">
        <f>+A981</f>
        <v>Set-up Dispensary based</v>
      </c>
      <c r="E981" s="158"/>
      <c r="T981" s="158"/>
    </row>
    <row r="982" spans="1:20">
      <c r="A982" s="158" t="s">
        <v>1697</v>
      </c>
      <c r="B982" s="59">
        <f>+B981+1</f>
        <v>974</v>
      </c>
      <c r="C982" s="102">
        <v>1815</v>
      </c>
      <c r="D982" s="92" t="str">
        <f>+A982</f>
        <v>Set-up Oral &amp; Injectable (2 depts)</v>
      </c>
      <c r="E982" s="158"/>
      <c r="T982" s="158"/>
    </row>
    <row r="983" spans="1:20">
      <c r="A983" s="158" t="s">
        <v>1698</v>
      </c>
      <c r="B983" s="59">
        <f>+B982+1</f>
        <v>975</v>
      </c>
      <c r="C983" s="102">
        <v>1082</v>
      </c>
      <c r="D983" s="92" t="str">
        <f>+A983</f>
        <v>Set-up Technical Services</v>
      </c>
      <c r="E983" s="158"/>
      <c r="T983" s="158"/>
    </row>
    <row r="984" spans="1:20">
      <c r="A984" s="158" t="s">
        <v>1699</v>
      </c>
      <c r="B984" s="59">
        <f>+B983+1</f>
        <v>976</v>
      </c>
      <c r="C984" s="102">
        <v>110</v>
      </c>
      <c r="D984" s="92" t="str">
        <f>+A984</f>
        <v>Trial Maintenance monthly</v>
      </c>
      <c r="E984" s="158"/>
      <c r="T984" s="158"/>
    </row>
    <row r="985" spans="1:20">
      <c r="A985" s="158" t="s">
        <v>1700</v>
      </c>
      <c r="B985" s="59">
        <f>+B984+1</f>
        <v>977</v>
      </c>
      <c r="C985" s="102">
        <v>100</v>
      </c>
      <c r="D985" s="92" t="str">
        <f>+A985</f>
        <v>Storage</v>
      </c>
      <c r="E985" s="158"/>
      <c r="T985" s="158"/>
    </row>
    <row r="986" spans="1:20">
      <c r="A986" s="158" t="s">
        <v>1701</v>
      </c>
      <c r="B986" s="59">
        <f>+B985+1</f>
        <v>978</v>
      </c>
      <c r="C986" s="102">
        <v>32</v>
      </c>
      <c r="D986" s="92" t="str">
        <f>+A986</f>
        <v>Dispensing</v>
      </c>
      <c r="E986" s="158"/>
      <c r="T986" s="158"/>
    </row>
    <row r="987" spans="1:20">
      <c r="A987" s="158" t="s">
        <v>1702</v>
      </c>
      <c r="B987" s="59">
        <f>+B986+1</f>
        <v>979</v>
      </c>
      <c r="C987" s="102">
        <v>13.5</v>
      </c>
      <c r="D987" s="92" t="str">
        <f>+A987</f>
        <v>Medicine reconcilation</v>
      </c>
      <c r="E987" s="158"/>
      <c r="T987" s="158"/>
    </row>
    <row r="988" spans="1:20">
      <c r="A988" s="158" t="s">
        <v>1703</v>
      </c>
      <c r="B988" s="59">
        <f>+B987+1</f>
        <v>980</v>
      </c>
      <c r="C988" s="102">
        <v>0</v>
      </c>
      <c r="D988" s="92" t="str">
        <f>+A988</f>
        <v>Injection dispensed</v>
      </c>
      <c r="E988" s="158"/>
      <c r="T988" s="158"/>
    </row>
    <row r="989" spans="1:20">
      <c r="A989" s="158" t="s">
        <v>1704</v>
      </c>
      <c r="B989" s="59">
        <f>+B988+1</f>
        <v>981</v>
      </c>
      <c r="C989" s="102">
        <v>100</v>
      </c>
      <c r="D989" s="92" t="str">
        <f>+A989</f>
        <v>waste disposal</v>
      </c>
      <c r="E989" s="158"/>
      <c r="T989" s="158"/>
    </row>
    <row r="990" spans="1:20" ht="13">
      <c r="A990" s="159" t="s">
        <v>1705</v>
      </c>
      <c r="B990" s="59">
        <f>+B989+1</f>
        <v>982</v>
      </c>
      <c r="C990" s="67">
        <v>0</v>
      </c>
      <c r="D990" s="92" t="str">
        <f>+A990</f>
        <v>Radiology</v>
      </c>
      <c r="E990" s="160"/>
      <c r="T990" s="159"/>
    </row>
    <row r="991" spans="1:20" ht="13">
      <c r="A991" s="161" t="s">
        <v>1706</v>
      </c>
      <c r="B991" s="59">
        <f>+B990+1</f>
        <v>983</v>
      </c>
      <c r="C991" s="67">
        <v>60</v>
      </c>
      <c r="D991" s="92" t="str">
        <f>+A991</f>
        <v>Audiology</v>
      </c>
      <c r="E991" s="160"/>
      <c r="T991" s="159"/>
    </row>
    <row r="992" spans="1:20">
      <c r="A992" s="162" t="s">
        <v>1707</v>
      </c>
      <c r="B992" s="59">
        <f>+B991+1</f>
        <v>984</v>
      </c>
      <c r="C992" s="163">
        <v>29.96</v>
      </c>
      <c r="D992" s="92" t="str">
        <f>+A992</f>
        <v>X-Ray multiple views with report</v>
      </c>
      <c r="E992" s="161" t="s">
        <v>1708</v>
      </c>
      <c r="T992" s="162"/>
    </row>
    <row r="993" spans="1:20">
      <c r="A993" s="162" t="s">
        <v>1709</v>
      </c>
      <c r="B993" s="59">
        <f>+B992+1</f>
        <v>985</v>
      </c>
      <c r="C993" s="163">
        <v>21.97</v>
      </c>
      <c r="D993" s="92" t="str">
        <f>+A993</f>
        <v>X-Ray single view with report</v>
      </c>
      <c r="E993" s="161" t="s">
        <v>1708</v>
      </c>
      <c r="T993" s="162"/>
    </row>
    <row r="994" spans="1:20">
      <c r="A994" s="162" t="s">
        <v>1710</v>
      </c>
      <c r="B994" s="59">
        <f>+B993+1</f>
        <v>986</v>
      </c>
      <c r="C994" s="163">
        <v>49.94</v>
      </c>
      <c r="D994" s="92" t="str">
        <f>+A994</f>
        <v>X-Ray spine or bone with report</v>
      </c>
      <c r="E994" s="161" t="s">
        <v>1708</v>
      </c>
      <c r="T994" s="162"/>
    </row>
    <row r="995" spans="1:20">
      <c r="A995" s="161" t="s">
        <v>1711</v>
      </c>
      <c r="B995" s="59">
        <f>+B994+1</f>
        <v>987</v>
      </c>
      <c r="C995" s="67">
        <v>60</v>
      </c>
      <c r="D995" s="92" t="str">
        <f>+A995</f>
        <v>Ultrasound Scan less than 20 minutes</v>
      </c>
      <c r="E995" s="161" t="s">
        <v>1712</v>
      </c>
      <c r="H995" s="79"/>
      <c r="T995" s="161"/>
    </row>
    <row r="996" spans="1:20">
      <c r="A996" s="161" t="s">
        <v>1713</v>
      </c>
      <c r="B996" s="59">
        <f>+B995+1</f>
        <v>988</v>
      </c>
      <c r="C996" s="67">
        <v>92</v>
      </c>
      <c r="D996" s="92" t="str">
        <f>+A996</f>
        <v>Ultrasound Scan more than 20 minutes</v>
      </c>
      <c r="E996" s="161" t="s">
        <v>1714</v>
      </c>
      <c r="H996" s="79"/>
      <c r="T996" s="161"/>
    </row>
    <row r="997" spans="1:20">
      <c r="A997" s="161" t="s">
        <v>1715</v>
      </c>
      <c r="B997" s="59">
        <f>+B996+1</f>
        <v>989</v>
      </c>
      <c r="C997" s="163">
        <v>62.424</v>
      </c>
      <c r="D997" s="92" t="str">
        <f>+A997</f>
        <v>Ultrasound (Upper Abdomen/Liver)</v>
      </c>
      <c r="E997" s="161"/>
      <c r="T997" s="161"/>
    </row>
    <row r="998" spans="1:20">
      <c r="A998" s="162" t="s">
        <v>1716</v>
      </c>
      <c r="B998" s="59">
        <f>+B997+1</f>
        <v>990</v>
      </c>
      <c r="C998" s="163">
        <v>49.94</v>
      </c>
      <c r="D998" s="92" t="str">
        <f>+A998</f>
        <v>Biopsy ~ bone marrow</v>
      </c>
      <c r="E998" s="161" t="s">
        <v>1708</v>
      </c>
      <c r="T998" s="162"/>
    </row>
    <row r="999" spans="1:20">
      <c r="A999" s="162" t="s">
        <v>1717</v>
      </c>
      <c r="B999" s="59">
        <f>+B998+1</f>
        <v>991</v>
      </c>
      <c r="C999" s="163">
        <v>47.94</v>
      </c>
      <c r="D999" s="92" t="str">
        <f>+A999</f>
        <v>Biopsy ~ skin</v>
      </c>
      <c r="E999" s="161" t="s">
        <v>1708</v>
      </c>
      <c r="T999" s="162"/>
    </row>
    <row r="1000" spans="1:20">
      <c r="A1000" s="162" t="s">
        <v>1718</v>
      </c>
      <c r="B1000" s="59">
        <f>+B999+1</f>
        <v>992</v>
      </c>
      <c r="C1000" s="163">
        <v>184.94</v>
      </c>
      <c r="D1000" s="92" t="str">
        <f>+A1000</f>
        <v>Biopsy ~ muscle</v>
      </c>
      <c r="E1000" s="161" t="s">
        <v>1708</v>
      </c>
      <c r="T1000" s="162"/>
    </row>
    <row r="1001" spans="1:20">
      <c r="A1001" s="161" t="s">
        <v>1719</v>
      </c>
      <c r="B1001" s="59">
        <f>+B1000+1</f>
        <v>993</v>
      </c>
      <c r="C1001" s="163">
        <v>105</v>
      </c>
      <c r="D1001" s="92" t="str">
        <f>+A1001</f>
        <v>Biopsy ~ fluoro/ultrasound guidance</v>
      </c>
      <c r="E1001" s="161"/>
      <c r="T1001" s="161"/>
    </row>
    <row r="1002" spans="1:20">
      <c r="A1002" s="161" t="s">
        <v>1720</v>
      </c>
      <c r="B1002" s="59">
        <f>+B1001+1</f>
        <v>994</v>
      </c>
      <c r="C1002" s="163">
        <v>145.6</v>
      </c>
      <c r="D1002" s="92" t="str">
        <f>+A1002</f>
        <v>Biopsy ~  CT guidance</v>
      </c>
      <c r="E1002" s="161"/>
      <c r="T1002" s="161"/>
    </row>
    <row r="1003" spans="1:20">
      <c r="A1003" s="161" t="s">
        <v>1721</v>
      </c>
      <c r="B1003" s="59">
        <f>+B1002+1</f>
        <v>995</v>
      </c>
      <c r="C1003" s="163">
        <v>473.382</v>
      </c>
      <c r="D1003" s="92" t="str">
        <f>+A1003</f>
        <v>Angiography</v>
      </c>
      <c r="E1003" s="161"/>
      <c r="T1003" s="161"/>
    </row>
    <row r="1004" spans="1:20">
      <c r="A1004" s="161" t="s">
        <v>1722</v>
      </c>
      <c r="B1004" s="59">
        <f>+B1003+1</f>
        <v>996</v>
      </c>
      <c r="C1004" s="163">
        <v>57.222</v>
      </c>
      <c r="D1004" s="92" t="str">
        <f>+A1004</f>
        <v>Fluoroscopy/screening</v>
      </c>
      <c r="E1004" s="161"/>
      <c r="T1004" s="161"/>
    </row>
    <row r="1005" spans="1:20">
      <c r="A1005" s="161" t="s">
        <v>1723</v>
      </c>
      <c r="B1005" s="59">
        <f>+B1004+1</f>
        <v>997</v>
      </c>
      <c r="C1005" s="164" t="s">
        <v>1724</v>
      </c>
      <c r="D1005" s="92" t="str">
        <f>+A1005</f>
        <v>Cardiac Investigations</v>
      </c>
      <c r="E1005" s="161"/>
      <c r="T1005" s="161"/>
    </row>
    <row r="1006" spans="1:20">
      <c r="A1006" s="161" t="s">
        <v>1725</v>
      </c>
      <c r="B1006" s="59">
        <f>+B1005+1</f>
        <v>998</v>
      </c>
      <c r="C1006" s="164">
        <v>21.97</v>
      </c>
      <c r="D1006" s="92" t="str">
        <f>+A1006</f>
        <v>CXR PA</v>
      </c>
      <c r="E1006" s="161"/>
      <c r="T1006" s="161"/>
    </row>
    <row r="1007" spans="1:20">
      <c r="A1007" s="161" t="s">
        <v>1726</v>
      </c>
      <c r="B1007" s="59">
        <f>+B1006+1</f>
        <v>999</v>
      </c>
      <c r="C1007" s="164">
        <v>29.96</v>
      </c>
      <c r="D1007" s="92" t="str">
        <f>+A1007</f>
        <v>CXR PA &amp; Lat</v>
      </c>
      <c r="E1007" s="161"/>
      <c r="T1007" s="161"/>
    </row>
    <row r="1008" spans="1:20">
      <c r="A1008" s="161" t="s">
        <v>1727</v>
      </c>
      <c r="B1008" s="59">
        <f>+B1007+1</f>
        <v>1000</v>
      </c>
      <c r="C1008" s="164">
        <v>79.9</v>
      </c>
      <c r="D1008" s="92" t="str">
        <f>+A1008</f>
        <v>U/S Liver</v>
      </c>
      <c r="E1008" s="161"/>
      <c r="T1008" s="161"/>
    </row>
    <row r="1009" spans="1:20">
      <c r="A1009" s="165" t="s">
        <v>1728</v>
      </c>
      <c r="B1009" s="59">
        <f>+B1008+1</f>
        <v>1001</v>
      </c>
      <c r="C1009" s="67">
        <v>188.2067</v>
      </c>
      <c r="D1009" s="92" t="str">
        <f>+A1009</f>
        <v>MRI Scan, one area, no contrast</v>
      </c>
      <c r="E1009" s="161" t="s">
        <v>1729</v>
      </c>
      <c r="T1009" s="165"/>
    </row>
    <row r="1010" spans="1:20">
      <c r="A1010" s="165" t="s">
        <v>1730</v>
      </c>
      <c r="B1010" s="59">
        <f>+B1009+1</f>
        <v>1002</v>
      </c>
      <c r="C1010" s="67">
        <v>254.5686</v>
      </c>
      <c r="D1010" s="92" t="str">
        <f>+A1010</f>
        <v>MRI Scan, one area, post contrast only</v>
      </c>
      <c r="E1010" s="161" t="s">
        <v>1731</v>
      </c>
      <c r="T1010" s="165"/>
    </row>
    <row r="1011" spans="1:20">
      <c r="A1011" s="165" t="s">
        <v>1732</v>
      </c>
      <c r="B1011" s="59">
        <f>+B1010+1</f>
        <v>1003</v>
      </c>
      <c r="C1011" s="67">
        <v>254.5686</v>
      </c>
      <c r="D1011" s="92" t="str">
        <f>+A1011</f>
        <v>MRI Scan, one area, pre and post contrast</v>
      </c>
      <c r="E1011" s="161" t="s">
        <v>1733</v>
      </c>
      <c r="T1011" s="165"/>
    </row>
    <row r="1012" spans="1:20">
      <c r="A1012" s="165" t="s">
        <v>1734</v>
      </c>
      <c r="B1012" s="59">
        <f>+B1011+1</f>
        <v>1004</v>
      </c>
      <c r="C1012" s="67">
        <v>298.0846</v>
      </c>
      <c r="D1012" s="92" t="str">
        <f>+A1012</f>
        <v>MRI Scan, two - three areas, no contrast</v>
      </c>
      <c r="E1012" s="161" t="s">
        <v>1735</v>
      </c>
      <c r="T1012" s="165"/>
    </row>
    <row r="1013" spans="1:20">
      <c r="A1013" s="165" t="s">
        <v>1736</v>
      </c>
      <c r="B1013" s="59">
        <f>+B1012+1</f>
        <v>1005</v>
      </c>
      <c r="C1013" s="67">
        <v>347.0401</v>
      </c>
      <c r="D1013" s="92" t="str">
        <f>+A1013</f>
        <v>MRI Scan, two - three areas, with contrast</v>
      </c>
      <c r="E1013" s="161" t="s">
        <v>1737</v>
      </c>
      <c r="T1013" s="165"/>
    </row>
    <row r="1014" spans="1:20">
      <c r="A1014" s="165" t="s">
        <v>1738</v>
      </c>
      <c r="B1014" s="59">
        <f>+B1013+1</f>
        <v>1006</v>
      </c>
      <c r="C1014" s="67">
        <v>312.2273</v>
      </c>
      <c r="D1014" s="92" t="str">
        <f>+A1014</f>
        <v>MRI Scan, more than three areas</v>
      </c>
      <c r="E1014" s="161" t="s">
        <v>1739</v>
      </c>
      <c r="T1014" s="165"/>
    </row>
    <row r="1015" spans="1:20">
      <c r="A1015" s="165" t="s">
        <v>1740</v>
      </c>
      <c r="B1015" s="59">
        <f>+B1014+1</f>
        <v>1007</v>
      </c>
      <c r="C1015" s="67">
        <v>384.0287</v>
      </c>
      <c r="D1015" s="92" t="str">
        <f>+A1015</f>
        <v>MRI Scan, requiring extensive patient repositioning and/or more than one contrast agent</v>
      </c>
      <c r="E1015" s="161" t="s">
        <v>1741</v>
      </c>
      <c r="T1015" s="165"/>
    </row>
    <row r="1016" spans="1:20">
      <c r="A1016" s="165" t="s">
        <v>1742</v>
      </c>
      <c r="B1016" s="59">
        <f>+B1015+1</f>
        <v>1008</v>
      </c>
      <c r="C1016" s="67">
        <v>110.9658</v>
      </c>
      <c r="D1016" s="92" t="str">
        <f>+A1016</f>
        <v>CT Scan, one area, no contrast</v>
      </c>
      <c r="E1016" s="161" t="s">
        <v>1743</v>
      </c>
      <c r="T1016" s="165"/>
    </row>
    <row r="1017" spans="1:20">
      <c r="A1017" s="165" t="s">
        <v>1744</v>
      </c>
      <c r="B1017" s="59">
        <f>+B1016+1</f>
        <v>1009</v>
      </c>
      <c r="C1017" s="67">
        <v>138.1633</v>
      </c>
      <c r="D1017" s="92" t="str">
        <f>+A1017</f>
        <v>CT Scan, one area with post contrast only</v>
      </c>
      <c r="E1017" s="161" t="s">
        <v>1745</v>
      </c>
      <c r="T1017" s="165"/>
    </row>
    <row r="1018" spans="1:20">
      <c r="A1018" s="165" t="s">
        <v>1746</v>
      </c>
      <c r="B1018" s="59">
        <f>+B1017+1</f>
        <v>1010</v>
      </c>
      <c r="C1018" s="67">
        <v>159.9213</v>
      </c>
      <c r="D1018" s="92" t="str">
        <f>+A1018</f>
        <v>CT Scan, one area, pre and post contrast</v>
      </c>
      <c r="E1018" s="161" t="s">
        <v>1747</v>
      </c>
      <c r="T1018" s="165"/>
    </row>
    <row r="1019" spans="1:20">
      <c r="A1019" s="165" t="s">
        <v>1748</v>
      </c>
      <c r="B1019" s="59">
        <f>+B1018+1</f>
        <v>1011</v>
      </c>
      <c r="C1019" s="67">
        <v>121.8448</v>
      </c>
      <c r="D1019" s="92" t="str">
        <f>+A1019</f>
        <v>CT Scan, two areas without contrast</v>
      </c>
      <c r="E1019" s="161" t="s">
        <v>1749</v>
      </c>
      <c r="T1019" s="165"/>
    </row>
    <row r="1020" spans="1:20">
      <c r="A1020" s="165" t="s">
        <v>1750</v>
      </c>
      <c r="B1020" s="59">
        <f>+B1019+1</f>
        <v>1012</v>
      </c>
      <c r="C1020" s="67">
        <v>149.0423</v>
      </c>
      <c r="D1020" s="92" t="str">
        <f>+A1020</f>
        <v>CT Scan, two areas with contrast</v>
      </c>
      <c r="E1020" s="161" t="s">
        <v>1751</v>
      </c>
      <c r="T1020" s="165"/>
    </row>
    <row r="1021" spans="1:20">
      <c r="A1021" s="165" t="s">
        <v>1752</v>
      </c>
      <c r="B1021" s="59">
        <f>+B1020+1</f>
        <v>1013</v>
      </c>
      <c r="C1021" s="67">
        <v>159.9213</v>
      </c>
      <c r="D1021" s="92" t="str">
        <f>+A1021</f>
        <v>CT Scan, three areas with contrast</v>
      </c>
      <c r="E1021" s="161" t="s">
        <v>1753</v>
      </c>
      <c r="T1021" s="165"/>
    </row>
    <row r="1022" spans="1:20">
      <c r="A1022" s="165" t="s">
        <v>1754</v>
      </c>
      <c r="B1022" s="59">
        <f>+B1021+1</f>
        <v>1014</v>
      </c>
      <c r="C1022" s="67">
        <v>166.4487</v>
      </c>
      <c r="D1022" s="92" t="str">
        <f>+A1022</f>
        <v>CT Scan, more than three areas</v>
      </c>
      <c r="E1022" s="161" t="s">
        <v>1755</v>
      </c>
      <c r="T1022" s="165"/>
    </row>
    <row r="1023" spans="1:20">
      <c r="A1023" s="161" t="s">
        <v>1756</v>
      </c>
      <c r="B1023" s="59">
        <f>+B1022+1</f>
        <v>1015</v>
      </c>
      <c r="C1023" s="163">
        <v>161.262</v>
      </c>
      <c r="D1023" s="92" t="str">
        <f>+A1023</f>
        <v>CT Scan Chest-Abdomen-Pelvis (non-contrast)</v>
      </c>
      <c r="E1023" s="161"/>
      <c r="T1023" s="161"/>
    </row>
    <row r="1024" spans="1:20">
      <c r="A1024" s="161" t="s">
        <v>1757</v>
      </c>
      <c r="B1024" s="59">
        <f>+B1023+1</f>
        <v>1016</v>
      </c>
      <c r="C1024" s="163">
        <v>104.04</v>
      </c>
      <c r="D1024" s="92" t="str">
        <f>+A1024</f>
        <v>CT Scan Brain (inclusive of contrast)</v>
      </c>
      <c r="E1024" s="161"/>
      <c r="T1024" s="161"/>
    </row>
    <row r="1025" spans="1:20">
      <c r="A1025" s="161" t="s">
        <v>1758</v>
      </c>
      <c r="B1025" s="59">
        <f>+B1024+1</f>
        <v>1017</v>
      </c>
      <c r="C1025" s="163">
        <v>46.818</v>
      </c>
      <c r="D1025" s="92" t="str">
        <f>+A1025</f>
        <v>MRI Gadolinium Contrast Media where needed.</v>
      </c>
      <c r="E1025" s="161"/>
      <c r="T1025" s="161"/>
    </row>
    <row r="1026" spans="1:20">
      <c r="A1026" s="161" t="s">
        <v>1759</v>
      </c>
      <c r="B1026" s="59">
        <f>+B1025+1</f>
        <v>1018</v>
      </c>
      <c r="C1026" s="163">
        <v>11.4444</v>
      </c>
      <c r="D1026" s="92" t="str">
        <f>+A1026</f>
        <v>Duplicate sets of CT films (original data at time of scan)</v>
      </c>
      <c r="E1026" s="161"/>
      <c r="T1026" s="161"/>
    </row>
    <row r="1027" spans="1:20">
      <c r="A1027" s="161" t="s">
        <v>1760</v>
      </c>
      <c r="B1027" s="59">
        <f>+B1026+1</f>
        <v>1019</v>
      </c>
      <c r="C1027" s="163">
        <v>30.171599999999998</v>
      </c>
      <c r="D1027" s="92" t="str">
        <f>+A1027</f>
        <v>Duplicate sets of CT films (retrospective / blinded data) </v>
      </c>
      <c r="E1027" s="161"/>
      <c r="T1027" s="161"/>
    </row>
    <row r="1028" spans="1:20">
      <c r="A1028" s="161" t="s">
        <v>1761</v>
      </c>
      <c r="B1028" s="59">
        <f>+B1027+1</f>
        <v>1020</v>
      </c>
      <c r="C1028" s="163">
        <v>2.0808</v>
      </c>
      <c r="D1028" s="92" t="str">
        <f>+A1028</f>
        <v>additional films</v>
      </c>
      <c r="E1028" s="161"/>
      <c r="T1028" s="161"/>
    </row>
    <row r="1029" spans="1:20">
      <c r="A1029" s="161" t="s">
        <v>1762</v>
      </c>
      <c r="B1029" s="59">
        <f>+B1028+1</f>
        <v>1021</v>
      </c>
      <c r="C1029" s="163">
        <v>75.429</v>
      </c>
      <c r="D1029" s="92" t="str">
        <f>+A1029</f>
        <v>Out of Hours surcharge (MRI / CT) First 2 hours</v>
      </c>
      <c r="E1029" s="161"/>
      <c r="T1029" s="161"/>
    </row>
    <row r="1030" spans="1:20">
      <c r="A1030" s="161" t="s">
        <v>1763</v>
      </c>
      <c r="B1030" s="59">
        <f>+B1029+1</f>
        <v>1022</v>
      </c>
      <c r="C1030" s="163">
        <v>37.7145</v>
      </c>
      <c r="D1030" s="92" t="str">
        <f>+A1030</f>
        <v>Out of Hours surcharge (MRI / CT) add’n per hour</v>
      </c>
      <c r="E1030" s="161"/>
      <c r="T1030" s="161"/>
    </row>
    <row r="1031" spans="1:20">
      <c r="A1031" s="166" t="s">
        <v>1764</v>
      </c>
      <c r="B1031" s="59">
        <f>+B1030+1</f>
        <v>1023</v>
      </c>
      <c r="C1031" s="163">
        <v>18.862452</v>
      </c>
      <c r="D1031" s="92" t="str">
        <f>+A1031</f>
        <v>Out of Hours (Administration &amp; data collection) where additional Senior/ Radiographer time is required.Per person/hour</v>
      </c>
      <c r="E1031" s="166"/>
      <c r="T1031" s="166"/>
    </row>
    <row r="1032" spans="1:20">
      <c r="A1032" s="161" t="s">
        <v>1765</v>
      </c>
      <c r="B1032" s="59">
        <f>+B1031+1</f>
        <v>1024</v>
      </c>
      <c r="C1032" s="163">
        <v>4.6818</v>
      </c>
      <c r="D1032" s="92" t="str">
        <f>+A1032</f>
        <v>Copy Films (First film)</v>
      </c>
      <c r="E1032" s="161"/>
      <c r="T1032" s="161"/>
    </row>
    <row r="1033" spans="1:20">
      <c r="A1033" s="161" t="s">
        <v>1766</v>
      </c>
      <c r="B1033" s="59">
        <f>+B1032+1</f>
        <v>1025</v>
      </c>
      <c r="C1033" s="163">
        <v>2.0808</v>
      </c>
      <c r="D1033" s="92" t="str">
        <f>+A1033</f>
        <v>Copy Films (Second film and thereafter)</v>
      </c>
      <c r="E1033" s="161"/>
      <c r="T1033" s="161"/>
    </row>
    <row r="1034" spans="1:20" ht="15.5">
      <c r="A1034" s="161" t="s">
        <v>1767</v>
      </c>
      <c r="B1034" s="59">
        <f>+B1033+1</f>
        <v>1026</v>
      </c>
      <c r="C1034" s="163">
        <v>2.0808</v>
      </c>
      <c r="D1034" s="92" t="str">
        <f>+A1034</f>
        <v>Copy Films{Large quantities by special arrangement}</v>
      </c>
      <c r="E1034" s="161"/>
      <c r="T1034" s="161"/>
    </row>
    <row r="1035" spans="1:20" ht="13">
      <c r="A1035" s="161" t="s">
        <v>1768</v>
      </c>
      <c r="B1035" s="59">
        <f>+B1034+1</f>
        <v>1027</v>
      </c>
      <c r="C1035" s="163">
        <v>26.01</v>
      </c>
      <c r="D1035" s="92" t="str">
        <f>+A1035</f>
        <v>Cost of 5.25” M-Optical RW Discs if not supplied. </v>
      </c>
      <c r="E1035" s="161"/>
      <c r="T1035" s="161"/>
    </row>
    <row r="1036" spans="1:20">
      <c r="A1036" s="161" t="s">
        <v>1769</v>
      </c>
      <c r="B1036" s="59">
        <f>+B1035+1</f>
        <v>1028</v>
      </c>
      <c r="C1036" s="163">
        <v>3.1212</v>
      </c>
      <c r="D1036" s="92" t="str">
        <f>+A1036</f>
        <v>Cost of suitable data quality CD/R’s if not supplied. Each</v>
      </c>
      <c r="E1036" s="161"/>
      <c r="T1036" s="161"/>
    </row>
    <row r="1037" spans="1:20">
      <c r="A1037" s="161" t="s">
        <v>1770</v>
      </c>
      <c r="B1037" s="59">
        <f>+B1036+1</f>
        <v>1029</v>
      </c>
      <c r="C1037" s="163">
        <v>15.606</v>
      </c>
      <c r="D1037" s="92" t="str">
        <f>+A1037</f>
        <v>Cost of DAT tapes if not supplied. Each</v>
      </c>
      <c r="E1037" s="161"/>
      <c r="T1037" s="161"/>
    </row>
    <row r="1038" spans="1:20">
      <c r="A1038" s="161" t="s">
        <v>1771</v>
      </c>
      <c r="B1038" s="59">
        <f>+B1037+1</f>
        <v>1030</v>
      </c>
      <c r="C1038" s="67">
        <v>462</v>
      </c>
      <c r="D1038" s="92" t="str">
        <f>+A1038</f>
        <v>MRI Spectroscopy one area</v>
      </c>
      <c r="E1038" s="161"/>
      <c r="H1038" s="79"/>
      <c r="T1038" s="161"/>
    </row>
    <row r="1039" spans="1:20">
      <c r="A1039" s="161" t="s">
        <v>1772</v>
      </c>
      <c r="B1039" s="59">
        <f>+B1038+1</f>
        <v>1031</v>
      </c>
      <c r="C1039" s="67">
        <v>506</v>
      </c>
      <c r="D1039" s="92" t="str">
        <f>+A1039</f>
        <v>MRI Spectroscopy two areas</v>
      </c>
      <c r="E1039" s="161"/>
      <c r="H1039" s="79"/>
      <c r="T1039" s="161"/>
    </row>
    <row r="1040" spans="1:20">
      <c r="A1040" s="161" t="s">
        <v>1773</v>
      </c>
      <c r="B1040" s="59">
        <f>+B1039+1</f>
        <v>1032</v>
      </c>
      <c r="C1040" s="67">
        <v>550</v>
      </c>
      <c r="D1040" s="92" t="str">
        <f>+A1040</f>
        <v>MRI Spectroscopy three areas</v>
      </c>
      <c r="E1040" s="161"/>
      <c r="H1040" s="79"/>
      <c r="T1040" s="161"/>
    </row>
    <row r="1041" spans="1:20">
      <c r="A1041" s="161" t="s">
        <v>1774</v>
      </c>
      <c r="B1041" s="59">
        <f>+B1040+1</f>
        <v>1033</v>
      </c>
      <c r="C1041" s="67">
        <v>33</v>
      </c>
      <c r="D1041" s="92" t="str">
        <f>+A1041</f>
        <v>Film skeletal study</v>
      </c>
      <c r="E1041" s="161"/>
      <c r="T1041" s="161"/>
    </row>
    <row r="1042" spans="1:20">
      <c r="A1042" s="161" t="s">
        <v>1775</v>
      </c>
      <c r="B1042" s="59">
        <f>+B1041+1</f>
        <v>1034</v>
      </c>
      <c r="C1042" s="67">
        <v>700</v>
      </c>
      <c r="D1042" s="92" t="str">
        <f>+A1042</f>
        <v>PET Scans - Portsmouuth</v>
      </c>
      <c r="E1042" s="161"/>
      <c r="T1042" s="161"/>
    </row>
    <row r="1043" spans="1:20">
      <c r="A1043" s="161" t="s">
        <v>1776</v>
      </c>
      <c r="B1043" s="59">
        <f>+B1042+1</f>
        <v>1035</v>
      </c>
      <c r="C1043" s="67">
        <v>33</v>
      </c>
      <c r="D1043" s="92" t="str">
        <f>+A1043</f>
        <v>Mammogram</v>
      </c>
      <c r="E1043" s="161"/>
      <c r="T1043" s="161"/>
    </row>
    <row r="1044" spans="1:20">
      <c r="A1044" s="161" t="s">
        <v>1777</v>
      </c>
      <c r="B1044" s="59">
        <f>+B1043+1</f>
        <v>1036</v>
      </c>
      <c r="C1044" s="67">
        <v>77</v>
      </c>
      <c r="D1044" s="92" t="str">
        <f>+A1044</f>
        <v>Barium Study</v>
      </c>
      <c r="E1044" s="161"/>
      <c r="T1044" s="161"/>
    </row>
    <row r="1045" spans="1:20">
      <c r="A1045" s="161" t="s">
        <v>1778</v>
      </c>
      <c r="B1045" s="59">
        <f>+B1044+1</f>
        <v>1037</v>
      </c>
      <c r="C1045" s="67">
        <v>8.25</v>
      </c>
      <c r="D1045" s="92" t="str">
        <f>+A1045</f>
        <v>Film copy</v>
      </c>
      <c r="E1045" s="161"/>
      <c r="T1045" s="161"/>
    </row>
    <row r="1046" spans="1:20">
      <c r="A1046" s="161" t="s">
        <v>1779</v>
      </c>
      <c r="B1046" s="59">
        <f>+B1045+1</f>
        <v>1038</v>
      </c>
      <c r="C1046" s="67">
        <v>26.4</v>
      </c>
      <c r="D1046" s="92" t="str">
        <f>+A1046</f>
        <v>CT Contrast Cost</v>
      </c>
      <c r="E1046" s="161"/>
      <c r="T1046" s="161"/>
    </row>
    <row r="1047" spans="1:20">
      <c r="A1047" s="161" t="s">
        <v>1780</v>
      </c>
      <c r="B1047" s="59">
        <f>+B1046+1</f>
        <v>1039</v>
      </c>
      <c r="C1047" s="67">
        <v>55</v>
      </c>
      <c r="D1047" s="92" t="str">
        <f>+A1047</f>
        <v>MRI Contrast cost</v>
      </c>
      <c r="E1047" s="161"/>
      <c r="T1047" s="161"/>
    </row>
    <row r="1048" spans="1:20">
      <c r="A1048" s="161" t="s">
        <v>1781</v>
      </c>
      <c r="B1048" s="59">
        <f>+B1047+1</f>
        <v>1040</v>
      </c>
      <c r="C1048" s="67">
        <v>110</v>
      </c>
      <c r="D1048" s="92" t="str">
        <f>+A1048</f>
        <v>MRI Spectroscopy</v>
      </c>
      <c r="E1048" s="161"/>
      <c r="T1048" s="161"/>
    </row>
    <row r="1049" spans="1:20" ht="13">
      <c r="A1049" s="167" t="s">
        <v>1782</v>
      </c>
      <c r="B1049" s="59">
        <f>+B1048+1</f>
        <v>1041</v>
      </c>
      <c r="C1049" s="67">
        <v>0</v>
      </c>
      <c r="D1049" s="92" t="str">
        <f>+A1049</f>
        <v>Outpatients_FirstAttendance_Single_Professional</v>
      </c>
      <c r="E1049" s="168"/>
      <c r="T1049" s="167"/>
    </row>
    <row r="1050" spans="1:20">
      <c r="A1050" s="169" t="s">
        <v>1783</v>
      </c>
      <c r="B1050" s="59">
        <f>+B1049+1</f>
        <v>1042</v>
      </c>
      <c r="C1050" s="67">
        <v>97.43</v>
      </c>
      <c r="D1050" s="92" t="str">
        <f>+A1050</f>
        <v>Outpatients 1st Att C.L. A &amp; E</v>
      </c>
      <c r="E1050" s="169" t="s">
        <v>1784</v>
      </c>
      <c r="T1050" s="169"/>
    </row>
    <row r="1051" spans="1:20">
      <c r="A1051" s="169" t="s">
        <v>1785</v>
      </c>
      <c r="B1051" s="59">
        <f>+B1050+1</f>
        <v>1043</v>
      </c>
      <c r="C1051" s="67">
        <v>178</v>
      </c>
      <c r="D1051" s="92" t="str">
        <f>+A1051</f>
        <v>Outpatients 1st Att S.P. Cancer</v>
      </c>
      <c r="E1051" s="169" t="s">
        <v>1784</v>
      </c>
      <c r="T1051" s="169"/>
    </row>
    <row r="1052" spans="1:20">
      <c r="A1052" s="169" t="s">
        <v>1786</v>
      </c>
      <c r="B1052" s="59">
        <f>+B1051+1</f>
        <v>1044</v>
      </c>
      <c r="C1052" s="67">
        <v>189</v>
      </c>
      <c r="D1052" s="92" t="str">
        <f>+A1052</f>
        <v>Outpatients 1st Att S.P. Cardiology</v>
      </c>
      <c r="E1052" s="169" t="s">
        <v>1784</v>
      </c>
      <c r="T1052" s="169"/>
    </row>
    <row r="1053" spans="1:20">
      <c r="A1053" s="169" t="s">
        <v>1787</v>
      </c>
      <c r="B1053" s="59">
        <f>+B1052+1</f>
        <v>1045</v>
      </c>
      <c r="C1053" s="67">
        <v>108</v>
      </c>
      <c r="D1053" s="92" t="str">
        <f>+A1053</f>
        <v>Outpatients 1st Att S.P. Ear, Nose &amp; Throat</v>
      </c>
      <c r="E1053" s="169" t="s">
        <v>1784</v>
      </c>
      <c r="T1053" s="169"/>
    </row>
    <row r="1054" spans="1:20">
      <c r="A1054" s="169" t="s">
        <v>1788</v>
      </c>
      <c r="B1054" s="59">
        <f>+B1053+1</f>
        <v>1046</v>
      </c>
      <c r="C1054" s="67">
        <v>148.25</v>
      </c>
      <c r="D1054" s="92" t="str">
        <f>+A1054</f>
        <v>Outpatients 1st Att S.P. Gynaecology</v>
      </c>
      <c r="E1054" s="169" t="s">
        <v>1784</v>
      </c>
      <c r="T1054" s="169"/>
    </row>
    <row r="1055" spans="1:20">
      <c r="A1055" s="169" t="s">
        <v>1789</v>
      </c>
      <c r="B1055" s="59">
        <f>+B1054+1</f>
        <v>1047</v>
      </c>
      <c r="C1055" s="67">
        <v>386.05</v>
      </c>
      <c r="D1055" s="92" t="str">
        <f>+A1055</f>
        <v>Outpatients 1st Att C.L. Medicine </v>
      </c>
      <c r="E1055" s="169" t="s">
        <v>1784</v>
      </c>
      <c r="T1055" s="169"/>
    </row>
    <row r="1056" spans="1:20">
      <c r="A1056" s="169" t="s">
        <v>1790</v>
      </c>
      <c r="B1056" s="59">
        <f>+B1055+1</f>
        <v>1048</v>
      </c>
      <c r="C1056" s="67">
        <v>211.75</v>
      </c>
      <c r="D1056" s="92" t="str">
        <f>+A1056</f>
        <v>Outpatients 1st Att S.P. Medicine </v>
      </c>
      <c r="E1056" s="169" t="s">
        <v>1784</v>
      </c>
      <c r="T1056" s="169"/>
    </row>
    <row r="1057" spans="1:20">
      <c r="A1057" s="169" t="s">
        <v>1791</v>
      </c>
      <c r="B1057" s="59">
        <f>+B1056+1</f>
        <v>1049</v>
      </c>
      <c r="C1057" s="67">
        <v>246.54</v>
      </c>
      <c r="D1057" s="92" t="str">
        <f>+A1057</f>
        <v>Outpatients 1st Att C.L. Neurology</v>
      </c>
      <c r="E1057" s="169" t="s">
        <v>1784</v>
      </c>
      <c r="T1057" s="169"/>
    </row>
    <row r="1058" spans="1:20">
      <c r="A1058" s="169" t="s">
        <v>1792</v>
      </c>
      <c r="B1058" s="59">
        <f>+B1057+1</f>
        <v>1050</v>
      </c>
      <c r="C1058" s="67">
        <v>110</v>
      </c>
      <c r="D1058" s="92" t="str">
        <f>+A1058</f>
        <v>Outpatients 1st Att S.P. Ophthalmology </v>
      </c>
      <c r="E1058" s="169" t="s">
        <v>1784</v>
      </c>
      <c r="T1058" s="169"/>
    </row>
    <row r="1059" spans="1:20">
      <c r="A1059" s="169" t="s">
        <v>1793</v>
      </c>
      <c r="B1059" s="59">
        <f>+B1058+1</f>
        <v>1051</v>
      </c>
      <c r="C1059" s="67">
        <v>180</v>
      </c>
      <c r="D1059" s="92" t="str">
        <f>+A1059</f>
        <v>Outpatients 1st Att S.P. Orthodontics </v>
      </c>
      <c r="E1059" s="169" t="s">
        <v>1784</v>
      </c>
      <c r="T1059" s="169"/>
    </row>
    <row r="1060" spans="1:20">
      <c r="A1060" s="169" t="s">
        <v>1794</v>
      </c>
      <c r="B1060" s="59">
        <f>+B1059+1</f>
        <v>1052</v>
      </c>
      <c r="C1060" s="67">
        <v>230.36</v>
      </c>
      <c r="D1060" s="92" t="str">
        <f>+A1060</f>
        <v>Outpatients 1st Att S.P. Paediatric</v>
      </c>
      <c r="E1060" s="169" t="s">
        <v>1784</v>
      </c>
      <c r="T1060" s="169"/>
    </row>
    <row r="1061" spans="1:20">
      <c r="A1061" s="169" t="s">
        <v>1795</v>
      </c>
      <c r="B1061" s="59">
        <f>+B1060+1</f>
        <v>1053</v>
      </c>
      <c r="C1061" s="67">
        <v>277.97</v>
      </c>
      <c r="D1061" s="92" t="str">
        <f>+A1061</f>
        <v>Outpatients 1st Att C.L. Paediatric</v>
      </c>
      <c r="E1061" s="169" t="s">
        <v>1784</v>
      </c>
      <c r="T1061" s="169"/>
    </row>
    <row r="1062" spans="1:20">
      <c r="A1062" s="169" t="s">
        <v>1796</v>
      </c>
      <c r="B1062" s="59">
        <f>+B1061+1</f>
        <v>1054</v>
      </c>
      <c r="C1062" s="67">
        <v>227.82</v>
      </c>
      <c r="D1062" s="92" t="str">
        <f>+A1062</f>
        <v>Outpatients 1st Att C.L. Surgery</v>
      </c>
      <c r="E1062" s="169" t="s">
        <v>1784</v>
      </c>
      <c r="T1062" s="169"/>
    </row>
    <row r="1063" spans="1:20">
      <c r="A1063" s="169" t="s">
        <v>1797</v>
      </c>
      <c r="B1063" s="59">
        <f>+B1062+1</f>
        <v>1055</v>
      </c>
      <c r="C1063" s="67">
        <v>142.07</v>
      </c>
      <c r="D1063" s="92" t="str">
        <f>+A1063</f>
        <v>Outpatients 1st Att S.P. Surgery</v>
      </c>
      <c r="E1063" s="169" t="s">
        <v>1784</v>
      </c>
      <c r="T1063" s="169"/>
    </row>
    <row r="1064" spans="1:20">
      <c r="A1064" s="169" t="s">
        <v>1798</v>
      </c>
      <c r="B1064" s="59">
        <f>+B1063+1</f>
        <v>1056</v>
      </c>
      <c r="C1064" s="67">
        <v>135</v>
      </c>
      <c r="D1064" s="92" t="str">
        <f>+A1064</f>
        <v>Outpatients 1st Att S.P.T &amp; O</v>
      </c>
      <c r="E1064" s="169" t="s">
        <v>1784</v>
      </c>
      <c r="T1064" s="169"/>
    </row>
    <row r="1065" spans="1:20" ht="13">
      <c r="A1065" s="167" t="s">
        <v>1799</v>
      </c>
      <c r="B1065" s="59">
        <f>+B1064+1</f>
        <v>1057</v>
      </c>
      <c r="C1065" s="67">
        <v>0</v>
      </c>
      <c r="D1065" s="92" t="str">
        <f>+A1065</f>
        <v>Outpatients_FollowUp_Single_Professional</v>
      </c>
      <c r="E1065" s="168"/>
      <c r="T1065" s="167"/>
    </row>
    <row r="1066" spans="1:20">
      <c r="A1066" s="170" t="s">
        <v>1800</v>
      </c>
      <c r="B1066" s="59">
        <f>+B1065+1</f>
        <v>1058</v>
      </c>
      <c r="C1066" s="171">
        <v>68.5</v>
      </c>
      <c r="D1066" s="92" t="str">
        <f>+A1066</f>
        <v>Outpatients F/up C.L. A &amp; E</v>
      </c>
      <c r="E1066" s="170" t="s">
        <v>1801</v>
      </c>
      <c r="T1066" s="170"/>
    </row>
    <row r="1067" spans="1:20">
      <c r="A1067" s="170" t="s">
        <v>1802</v>
      </c>
      <c r="B1067" s="59">
        <f>+B1066+1</f>
        <v>1059</v>
      </c>
      <c r="C1067" s="171">
        <v>69</v>
      </c>
      <c r="D1067" s="92" t="str">
        <f>+A1067</f>
        <v>Outpatients F/up S.P. Cancer</v>
      </c>
      <c r="E1067" s="170" t="s">
        <v>1801</v>
      </c>
      <c r="T1067" s="170"/>
    </row>
    <row r="1068" spans="1:20">
      <c r="A1068" s="170" t="s">
        <v>1803</v>
      </c>
      <c r="B1068" s="59">
        <f>+B1067+1</f>
        <v>1060</v>
      </c>
      <c r="C1068" s="171">
        <v>91</v>
      </c>
      <c r="D1068" s="92" t="str">
        <f>+A1068</f>
        <v>Outpatients F/up S.P. Cardiology</v>
      </c>
      <c r="E1068" s="170" t="s">
        <v>1801</v>
      </c>
      <c r="T1068" s="170"/>
    </row>
    <row r="1069" spans="1:20">
      <c r="A1069" s="170" t="s">
        <v>1804</v>
      </c>
      <c r="B1069" s="59">
        <f>+B1068+1</f>
        <v>1061</v>
      </c>
      <c r="C1069" s="171">
        <v>57</v>
      </c>
      <c r="D1069" s="92" t="str">
        <f>+A1069</f>
        <v>Outpatients F/up S.P. Ear, Nose &amp; Throat</v>
      </c>
      <c r="E1069" s="170" t="s">
        <v>1801</v>
      </c>
      <c r="T1069" s="170"/>
    </row>
    <row r="1070" spans="1:20">
      <c r="A1070" s="170" t="s">
        <v>1805</v>
      </c>
      <c r="B1070" s="59">
        <f>+B1069+1</f>
        <v>1062</v>
      </c>
      <c r="C1070" s="171">
        <v>71.75</v>
      </c>
      <c r="D1070" s="92" t="str">
        <f>+A1070</f>
        <v>Outpatients F/up S.P. Gynaecology</v>
      </c>
      <c r="E1070" s="170" t="s">
        <v>1801</v>
      </c>
      <c r="T1070" s="170"/>
    </row>
    <row r="1071" spans="1:20">
      <c r="A1071" s="170" t="s">
        <v>1806</v>
      </c>
      <c r="B1071" s="59">
        <f>+B1070+1</f>
        <v>1063</v>
      </c>
      <c r="C1071" s="171">
        <v>346.31</v>
      </c>
      <c r="D1071" s="92" t="str">
        <f>+A1071</f>
        <v>Outpatients F/up C.L. Medicine </v>
      </c>
      <c r="E1071" s="170" t="s">
        <v>1801</v>
      </c>
      <c r="T1071" s="170"/>
    </row>
    <row r="1072" spans="1:20">
      <c r="A1072" s="170" t="s">
        <v>1807</v>
      </c>
      <c r="B1072" s="59">
        <f>+B1071+1</f>
        <v>1064</v>
      </c>
      <c r="C1072" s="171">
        <v>95</v>
      </c>
      <c r="D1072" s="92" t="str">
        <f>+A1072</f>
        <v>Outpatients F/up S.P. Medicine </v>
      </c>
      <c r="E1072" s="170" t="s">
        <v>1801</v>
      </c>
      <c r="T1072" s="170"/>
    </row>
    <row r="1073" spans="1:20">
      <c r="A1073" s="170" t="s">
        <v>1808</v>
      </c>
      <c r="B1073" s="59">
        <f>+B1072+1</f>
        <v>1065</v>
      </c>
      <c r="C1073" s="171">
        <v>130.86</v>
      </c>
      <c r="D1073" s="92" t="str">
        <f>+A1073</f>
        <v>Outpatients F/up C.L. Neurology</v>
      </c>
      <c r="E1073" s="170" t="s">
        <v>1801</v>
      </c>
      <c r="T1073" s="170"/>
    </row>
    <row r="1074" spans="1:20">
      <c r="A1074" s="170" t="s">
        <v>1809</v>
      </c>
      <c r="B1074" s="59">
        <f>+B1073+1</f>
        <v>1066</v>
      </c>
      <c r="C1074" s="171">
        <v>53</v>
      </c>
      <c r="D1074" s="92" t="str">
        <f>+A1074</f>
        <v>Outpatients F/up S.P. Ophthalmology </v>
      </c>
      <c r="E1074" s="170" t="s">
        <v>1801</v>
      </c>
      <c r="T1074" s="170"/>
    </row>
    <row r="1075" spans="1:20">
      <c r="A1075" s="170" t="s">
        <v>1810</v>
      </c>
      <c r="B1075" s="59">
        <f>+B1074+1</f>
        <v>1067</v>
      </c>
      <c r="C1075" s="171">
        <v>82</v>
      </c>
      <c r="D1075" s="92" t="str">
        <f>+A1075</f>
        <v>Outpatients F/up S.P. Orthodontics </v>
      </c>
      <c r="E1075" s="170" t="s">
        <v>1801</v>
      </c>
      <c r="T1075" s="170"/>
    </row>
    <row r="1076" spans="1:20">
      <c r="A1076" s="170" t="s">
        <v>1811</v>
      </c>
      <c r="B1076" s="59">
        <f>+B1075+1</f>
        <v>1068</v>
      </c>
      <c r="C1076" s="171">
        <v>123.73</v>
      </c>
      <c r="D1076" s="92" t="str">
        <f>+A1076</f>
        <v>Outpatients F/up S.P. Paediatric</v>
      </c>
      <c r="E1076" s="170" t="s">
        <v>1801</v>
      </c>
      <c r="T1076" s="170"/>
    </row>
    <row r="1077" spans="1:20">
      <c r="A1077" s="170" t="s">
        <v>1812</v>
      </c>
      <c r="B1077" s="59">
        <f>+B1076+1</f>
        <v>1069</v>
      </c>
      <c r="C1077" s="171">
        <v>236.97</v>
      </c>
      <c r="D1077" s="92" t="str">
        <f>+A1077</f>
        <v>Outpatients F/up C.L. Paediatric</v>
      </c>
      <c r="E1077" s="170" t="s">
        <v>1801</v>
      </c>
      <c r="T1077" s="170"/>
    </row>
    <row r="1078" spans="1:20">
      <c r="A1078" s="170" t="s">
        <v>1813</v>
      </c>
      <c r="B1078" s="59">
        <f>+B1077+1</f>
        <v>1070</v>
      </c>
      <c r="C1078" s="171">
        <v>142.43</v>
      </c>
      <c r="D1078" s="92" t="str">
        <f>+A1078</f>
        <v>Outpatients F/up C.L. Surgery</v>
      </c>
      <c r="E1078" s="170" t="s">
        <v>1801</v>
      </c>
      <c r="T1078" s="170"/>
    </row>
    <row r="1079" spans="1:20">
      <c r="A1079" s="170" t="s">
        <v>1814</v>
      </c>
      <c r="B1079" s="59">
        <f>+B1078+1</f>
        <v>1071</v>
      </c>
      <c r="C1079" s="171">
        <v>77.93</v>
      </c>
      <c r="D1079" s="92" t="str">
        <f>+A1079</f>
        <v>Outpatients F/up up S.P. Surgery</v>
      </c>
      <c r="E1079" s="170" t="s">
        <v>1801</v>
      </c>
      <c r="T1079" s="170"/>
    </row>
    <row r="1080" spans="1:20">
      <c r="A1080" s="170" t="s">
        <v>1815</v>
      </c>
      <c r="B1080" s="59">
        <f>+B1079+1</f>
        <v>1072</v>
      </c>
      <c r="C1080" s="171">
        <v>74</v>
      </c>
      <c r="D1080" s="92" t="str">
        <f>+A1080</f>
        <v>Outpatients F/up S.P.T &amp; O</v>
      </c>
      <c r="E1080" s="170" t="s">
        <v>1801</v>
      </c>
      <c r="T1080" s="170"/>
    </row>
    <row r="1081" spans="1:20">
      <c r="A1081" s="172" t="s">
        <v>1816</v>
      </c>
      <c r="B1081" s="59">
        <f>+B1080+1</f>
        <v>1073</v>
      </c>
      <c r="C1081" s="173">
        <v>0</v>
      </c>
      <c r="D1081" s="92" t="str">
        <f>+A1081</f>
        <v>Osteoporosis Centre</v>
      </c>
      <c r="E1081" s="170"/>
      <c r="T1081" s="170"/>
    </row>
    <row r="1082" spans="1:20">
      <c r="A1082" s="174" t="s">
        <v>239</v>
      </c>
      <c r="B1082" s="59">
        <f>+B1081+1</f>
        <v>1074</v>
      </c>
      <c r="C1082" s="173">
        <v>72</v>
      </c>
      <c r="D1082" s="92" t="str">
        <f>+A1082</f>
        <v>DEXA</v>
      </c>
      <c r="E1082" s="170"/>
      <c r="T1082" s="170"/>
    </row>
    <row r="1083" spans="1:20">
      <c r="A1083" s="174" t="s">
        <v>1817</v>
      </c>
      <c r="B1083" s="59">
        <f>+B1082+1</f>
        <v>1075</v>
      </c>
      <c r="C1083" s="173">
        <v>50</v>
      </c>
      <c r="D1083" s="92" t="str">
        <f>+A1083</f>
        <v>Pqct Scan</v>
      </c>
      <c r="E1083" s="170"/>
      <c r="T1083" s="170"/>
    </row>
    <row r="1084" spans="1:20" ht="13">
      <c r="A1084" s="175" t="s">
        <v>1818</v>
      </c>
      <c r="B1084" s="59">
        <f>+B1083+1</f>
        <v>1076</v>
      </c>
      <c r="C1084" s="67">
        <v>0</v>
      </c>
      <c r="D1084" s="92" t="str">
        <f>+A1084</f>
        <v>Nuclear Medicine </v>
      </c>
      <c r="E1084" s="90"/>
      <c r="T1084" s="175"/>
    </row>
    <row r="1085" spans="1:20" ht="13">
      <c r="A1085" s="176" t="s">
        <v>1819</v>
      </c>
      <c r="B1085" s="59">
        <f>+B1084+1</f>
        <v>1077</v>
      </c>
      <c r="C1085" s="177">
        <v>246</v>
      </c>
      <c r="D1085" s="92" t="str">
        <f>+A1085</f>
        <v>Bone Whole Body</v>
      </c>
      <c r="E1085" s="175" t="s">
        <v>1820</v>
      </c>
      <c r="T1085" s="176"/>
    </row>
    <row r="1086" spans="1:20" ht="13">
      <c r="A1086" s="176" t="s">
        <v>1821</v>
      </c>
      <c r="B1086" s="59">
        <f>+B1085+1</f>
        <v>1078</v>
      </c>
      <c r="C1086" s="177">
        <v>246</v>
      </c>
      <c r="D1086" s="92" t="str">
        <f>+A1086</f>
        <v>Bone Dynamic</v>
      </c>
      <c r="E1086" s="175" t="s">
        <v>1822</v>
      </c>
      <c r="T1086" s="176"/>
    </row>
    <row r="1087" spans="1:20" ht="13">
      <c r="A1087" s="176" t="s">
        <v>1823</v>
      </c>
      <c r="B1087" s="59">
        <f>+B1086+1</f>
        <v>1079</v>
      </c>
      <c r="C1087" s="177">
        <v>359</v>
      </c>
      <c r="D1087" s="92" t="str">
        <f>+A1087</f>
        <v>Brain HMPAO</v>
      </c>
      <c r="E1087" s="175" t="s">
        <v>1824</v>
      </c>
      <c r="T1087" s="176"/>
    </row>
    <row r="1088" spans="1:20" ht="13">
      <c r="A1088" s="176" t="s">
        <v>1825</v>
      </c>
      <c r="B1088" s="59">
        <f>+B1087+1</f>
        <v>1080</v>
      </c>
      <c r="C1088" s="177">
        <v>749</v>
      </c>
      <c r="D1088" s="92" t="str">
        <f>+A1088</f>
        <v>Brain DAT</v>
      </c>
      <c r="E1088" s="175" t="s">
        <v>1826</v>
      </c>
      <c r="T1088" s="176"/>
    </row>
    <row r="1089" spans="1:20" ht="13">
      <c r="A1089" s="176" t="s">
        <v>1827</v>
      </c>
      <c r="B1089" s="59">
        <f>+B1088+1</f>
        <v>1081</v>
      </c>
      <c r="C1089" s="177">
        <v>321</v>
      </c>
      <c r="D1089" s="92" t="str">
        <f>+A1089</f>
        <v>Cardiac scan</v>
      </c>
      <c r="E1089" s="175" t="s">
        <v>1828</v>
      </c>
      <c r="T1089" s="176"/>
    </row>
    <row r="1090" spans="1:20">
      <c r="A1090" s="176" t="s">
        <v>1829</v>
      </c>
      <c r="B1090" s="59">
        <f>+B1089+1</f>
        <v>1082</v>
      </c>
      <c r="C1090" s="177">
        <v>288</v>
      </c>
      <c r="D1090" s="92" t="str">
        <f>+A1090</f>
        <v>DMSA</v>
      </c>
      <c r="E1090" s="127"/>
      <c r="T1090" s="176"/>
    </row>
    <row r="1091" spans="1:20">
      <c r="A1091" s="176" t="s">
        <v>1830</v>
      </c>
      <c r="B1091" s="59">
        <f>+B1090+1</f>
        <v>1083</v>
      </c>
      <c r="C1091" s="177">
        <v>374</v>
      </c>
      <c r="D1091" s="92" t="str">
        <f>+A1091</f>
        <v>Gastric Emptying</v>
      </c>
      <c r="E1091" s="127"/>
      <c r="T1091" s="176"/>
    </row>
    <row r="1092" spans="1:20">
      <c r="A1092" s="176" t="s">
        <v>1831</v>
      </c>
      <c r="B1092" s="59">
        <f>+B1091+1</f>
        <v>1084</v>
      </c>
      <c r="C1092" s="177">
        <v>324</v>
      </c>
      <c r="D1092" s="92" t="str">
        <f>+A1092</f>
        <v>Lung scan</v>
      </c>
      <c r="E1092" s="127"/>
      <c r="T1092" s="176"/>
    </row>
    <row r="1093" spans="1:20">
      <c r="A1093" s="176" t="s">
        <v>1832</v>
      </c>
      <c r="B1093" s="59">
        <f>+B1092+1</f>
        <v>1085</v>
      </c>
      <c r="C1093" s="177">
        <v>418</v>
      </c>
      <c r="D1093" s="92" t="str">
        <f>+A1093</f>
        <v>Lymph scan</v>
      </c>
      <c r="E1093" s="127"/>
      <c r="T1093" s="176"/>
    </row>
    <row r="1094" spans="1:20">
      <c r="A1094" s="176" t="s">
        <v>1833</v>
      </c>
      <c r="B1094" s="59">
        <f>+B1093+1</f>
        <v>1086</v>
      </c>
      <c r="C1094" s="177">
        <v>349</v>
      </c>
      <c r="D1094" s="92" t="str">
        <f>+A1094</f>
        <v>MAG-3</v>
      </c>
      <c r="E1094" s="127"/>
      <c r="T1094" s="176"/>
    </row>
    <row r="1095" spans="1:20">
      <c r="A1095" s="176" t="s">
        <v>1834</v>
      </c>
      <c r="B1095" s="59">
        <f>+B1094+1</f>
        <v>1087</v>
      </c>
      <c r="C1095" s="177">
        <v>1688</v>
      </c>
      <c r="D1095" s="92" t="str">
        <f>+A1095</f>
        <v>Octreotide</v>
      </c>
      <c r="E1095" s="127"/>
      <c r="T1095" s="176"/>
    </row>
    <row r="1096" spans="1:20">
      <c r="A1096" s="176" t="s">
        <v>1835</v>
      </c>
      <c r="B1096" s="59">
        <f>+B1095+1</f>
        <v>1088</v>
      </c>
      <c r="C1096" s="177">
        <v>615</v>
      </c>
      <c r="D1096" s="92" t="str">
        <f>+A1096</f>
        <v>SeHCAT</v>
      </c>
      <c r="E1096" s="127"/>
      <c r="T1096" s="176"/>
    </row>
    <row r="1097" spans="1:20">
      <c r="A1097" s="176" t="s">
        <v>1836</v>
      </c>
      <c r="B1097" s="59">
        <f>+B1096+1</f>
        <v>1089</v>
      </c>
      <c r="C1097" s="177">
        <v>202</v>
      </c>
      <c r="D1097" s="92" t="str">
        <f>+A1097</f>
        <v>Thyroid scan </v>
      </c>
      <c r="E1097" s="127"/>
      <c r="T1097" s="176"/>
    </row>
    <row r="1098" spans="1:20">
      <c r="A1098" s="176" t="s">
        <v>1837</v>
      </c>
      <c r="B1098" s="59">
        <f>+B1097+1</f>
        <v>1090</v>
      </c>
      <c r="C1098" s="177">
        <v>394</v>
      </c>
      <c r="D1098" s="92" t="str">
        <f>+A1098</f>
        <v>Thyroid therapy</v>
      </c>
      <c r="E1098" s="127"/>
      <c r="T1098" s="176"/>
    </row>
    <row r="1099" spans="1:20">
      <c r="A1099" s="176" t="s">
        <v>1838</v>
      </c>
      <c r="B1099" s="59">
        <f>+B1098+1</f>
        <v>1091</v>
      </c>
      <c r="C1099" s="177">
        <v>835</v>
      </c>
      <c r="D1099" s="92" t="str">
        <f>+A1099</f>
        <v>White cell scan</v>
      </c>
      <c r="E1099" s="127"/>
      <c r="T1099" s="176"/>
    </row>
    <row r="1100" spans="1:20">
      <c r="A1100" s="176" t="s">
        <v>1839</v>
      </c>
      <c r="B1100" s="59">
        <f>+B1099+1</f>
        <v>1092</v>
      </c>
      <c r="C1100" s="177">
        <v>305</v>
      </c>
      <c r="D1100" s="92" t="str">
        <f>+A1100</f>
        <v>Sentinel Imaging external</v>
      </c>
      <c r="E1100" s="127"/>
      <c r="T1100" s="176"/>
    </row>
    <row r="1101" spans="1:20">
      <c r="A1101" s="176" t="s">
        <v>1840</v>
      </c>
      <c r="B1101" s="59">
        <f>+B1100+1</f>
        <v>1093</v>
      </c>
      <c r="C1101" s="177">
        <v>230</v>
      </c>
      <c r="D1101" s="92" t="str">
        <f>+A1101</f>
        <v>Sentinel SUHT imaging</v>
      </c>
      <c r="E1101" s="127"/>
      <c r="T1101" s="176"/>
    </row>
    <row r="1102" spans="1:20">
      <c r="A1102" s="176" t="s">
        <v>1841</v>
      </c>
      <c r="B1102" s="59">
        <f>+B1101+1</f>
        <v>1094</v>
      </c>
      <c r="C1102" s="177">
        <v>127</v>
      </c>
      <c r="D1102" s="92" t="str">
        <f>+A1102</f>
        <v>Sentinel SUHT injection/probe</v>
      </c>
      <c r="E1102" s="127"/>
      <c r="T1102" s="176"/>
    </row>
    <row r="1103" spans="1:20">
      <c r="A1103" s="176" t="s">
        <v>1842</v>
      </c>
      <c r="B1103" s="59">
        <f>+B1102+1</f>
        <v>1095</v>
      </c>
      <c r="C1103" s="177">
        <v>414</v>
      </c>
      <c r="D1103" s="92" t="str">
        <f>+A1103</f>
        <v>Parathyroid</v>
      </c>
      <c r="E1103" s="127"/>
      <c r="T1103" s="176"/>
    </row>
    <row r="1104" spans="1:20">
      <c r="A1104" s="176" t="s">
        <v>1843</v>
      </c>
      <c r="B1104" s="59">
        <f>+B1103+1</f>
        <v>1096</v>
      </c>
      <c r="C1104" s="177">
        <v>1784</v>
      </c>
      <c r="D1104" s="92" t="str">
        <f>+A1104</f>
        <v>mIBG</v>
      </c>
      <c r="E1104" s="127"/>
      <c r="T1104" s="176"/>
    </row>
    <row r="1105" spans="1:20">
      <c r="A1105" s="176" t="s">
        <v>1844</v>
      </c>
      <c r="B1105" s="59">
        <f>+B1104+1</f>
        <v>1097</v>
      </c>
      <c r="C1105" s="177">
        <v>162</v>
      </c>
      <c r="D1105" s="92" t="str">
        <f>+A1105</f>
        <v>Thyroid post ablation I-131 imaging only</v>
      </c>
      <c r="E1105" s="127"/>
      <c r="T1105" s="176"/>
    </row>
    <row r="1106" spans="1:20">
      <c r="A1106" s="176" t="s">
        <v>1845</v>
      </c>
      <c r="B1106" s="59">
        <f>+B1105+1</f>
        <v>1098</v>
      </c>
      <c r="C1106" s="177">
        <v>322</v>
      </c>
      <c r="D1106" s="92" t="str">
        <f>+A1106</f>
        <v>Thyroid post ablation I-131 imaging and drink</v>
      </c>
      <c r="E1106" s="127"/>
      <c r="T1106" s="176"/>
    </row>
    <row r="1107" spans="1:20">
      <c r="A1107" s="176" t="s">
        <v>1846</v>
      </c>
      <c r="B1107" s="59">
        <f>+B1106+1</f>
        <v>1099</v>
      </c>
      <c r="C1107" s="177">
        <v>864</v>
      </c>
      <c r="D1107" s="92" t="str">
        <f>+A1107</f>
        <v>P32</v>
      </c>
      <c r="E1107" s="127"/>
      <c r="T1107" s="176"/>
    </row>
    <row r="1108" spans="1:20">
      <c r="A1108" s="176" t="s">
        <v>1847</v>
      </c>
      <c r="B1108" s="59">
        <f>+B1107+1</f>
        <v>1100</v>
      </c>
      <c r="C1108" s="177" t="s">
        <v>1724</v>
      </c>
      <c r="D1108" s="92" t="str">
        <f>+A1108</f>
        <v>Blood Vol</v>
      </c>
      <c r="E1108" s="127"/>
      <c r="T1108" s="176"/>
    </row>
    <row r="1109" spans="1:20">
      <c r="A1109" s="176" t="s">
        <v>1848</v>
      </c>
      <c r="B1109" s="59">
        <f>+B1108+1</f>
        <v>1101</v>
      </c>
      <c r="C1109" s="177">
        <v>301</v>
      </c>
      <c r="D1109" s="92" t="str">
        <f>+A1109</f>
        <v>GFR</v>
      </c>
      <c r="E1109" s="127"/>
      <c r="T1109" s="176"/>
    </row>
    <row r="1110" spans="1:20">
      <c r="A1110" s="176" t="s">
        <v>1849</v>
      </c>
      <c r="B1110" s="59">
        <f>+B1109+1</f>
        <v>1102</v>
      </c>
      <c r="C1110" s="177">
        <v>162</v>
      </c>
      <c r="D1110" s="92" t="str">
        <f>+A1110</f>
        <v>Urea</v>
      </c>
      <c r="E1110" s="127"/>
      <c r="T1110" s="176"/>
    </row>
    <row r="1111" spans="1:20">
      <c r="A1111" s="176" t="s">
        <v>1850</v>
      </c>
      <c r="B1111" s="59">
        <f>+B1110+1</f>
        <v>1103</v>
      </c>
      <c r="C1111" s="177">
        <v>162</v>
      </c>
      <c r="D1111" s="92" t="str">
        <f>+A1111</f>
        <v>Bile Salt deconjugation C14</v>
      </c>
      <c r="E1111" s="127"/>
      <c r="T1111" s="176"/>
    </row>
    <row r="1112" spans="1:20" ht="14">
      <c r="A1112" s="178" t="s">
        <v>1851</v>
      </c>
      <c r="B1112" s="59">
        <f>+B1111+1</f>
        <v>1104</v>
      </c>
      <c r="C1112" s="177">
        <v>304</v>
      </c>
      <c r="D1112" s="92" t="str">
        <f>+A1112</f>
        <v>Meckels</v>
      </c>
      <c r="E1112" s="127"/>
      <c r="T1112" s="178"/>
    </row>
    <row r="1113" spans="1:20">
      <c r="A1113" s="127"/>
      <c r="B1113" s="127"/>
      <c r="C1113" s="177"/>
      <c r="D1113" s="59">
        <f>+A1113</f>
        <v>0</v>
      </c>
      <c r="E1113" s="127"/>
      <c r="T1113" s="127"/>
    </row>
    <row r="1114" spans="1:20">
      <c r="A1114" s="127"/>
      <c r="B1114" s="127"/>
      <c r="C1114" s="177"/>
      <c r="D1114" s="59">
        <f>+A1114</f>
        <v>0</v>
      </c>
      <c r="E1114" s="127"/>
      <c r="T1114" s="127"/>
    </row>
    <row r="1115" spans="1:20">
      <c r="A1115" s="127"/>
      <c r="B1115" s="127"/>
      <c r="C1115" s="177"/>
      <c r="D1115" s="59">
        <f>+A1115</f>
        <v>0</v>
      </c>
      <c r="E1115" s="127"/>
      <c r="T1115" s="127"/>
    </row>
    <row r="1116" spans="1:20">
      <c r="A1116" s="127"/>
      <c r="B1116" s="127"/>
      <c r="C1116" s="177"/>
      <c r="D1116" s="59">
        <f>+A1116</f>
        <v>0</v>
      </c>
      <c r="E1116" s="127"/>
      <c r="T1116" s="127"/>
    </row>
    <row r="1117" spans="1:20">
      <c r="A1117" s="127"/>
      <c r="B1117" s="127"/>
      <c r="C1117" s="177"/>
      <c r="D1117" s="59">
        <f>+A1117</f>
        <v>0</v>
      </c>
      <c r="E1117" s="127"/>
      <c r="T1117" s="127"/>
    </row>
    <row r="1118" spans="1:20">
      <c r="A1118" s="127"/>
      <c r="B1118" s="127"/>
      <c r="C1118" s="173"/>
      <c r="E1118" s="127"/>
      <c r="T1118" s="127"/>
    </row>
    <row r="1119" spans="1:20">
      <c r="A1119" s="127"/>
      <c r="B1119" s="127"/>
      <c r="C1119" s="67"/>
      <c r="E1119" s="127"/>
      <c r="T1119" s="127"/>
    </row>
    <row r="1120" spans="1:20">
      <c r="A1120" s="127"/>
      <c r="B1120" s="127"/>
      <c r="C1120" s="67"/>
      <c r="E1120" s="127"/>
      <c r="T1120" s="127"/>
    </row>
    <row r="1121" spans="1:20">
      <c r="A1121" s="127"/>
      <c r="B1121" s="127"/>
      <c r="C1121" s="67"/>
      <c r="E1121" s="127"/>
      <c r="T1121" s="127"/>
    </row>
    <row r="1122" spans="1:20">
      <c r="A1122" s="127"/>
      <c r="B1122" s="127"/>
      <c r="C1122" s="67"/>
      <c r="E1122" s="127"/>
      <c r="T1122" s="127"/>
    </row>
    <row r="1123" spans="1:20">
      <c r="A1123" s="127"/>
      <c r="B1123" s="127"/>
      <c r="C1123" s="67"/>
      <c r="E1123" s="127"/>
      <c r="T1123" s="127"/>
    </row>
    <row r="1124" spans="1:20">
      <c r="A1124" s="127"/>
      <c r="B1124" s="127"/>
      <c r="C1124" s="67"/>
      <c r="E1124" s="127"/>
      <c r="T1124" s="127"/>
    </row>
    <row r="1125" spans="1:20">
      <c r="A1125" s="127"/>
      <c r="B1125" s="127"/>
      <c r="C1125" s="67"/>
      <c r="E1125" s="127"/>
      <c r="T1125" s="127"/>
    </row>
    <row r="1126" spans="1:20">
      <c r="A1126" s="127"/>
      <c r="B1126" s="127"/>
      <c r="C1126" s="67"/>
      <c r="E1126" s="127"/>
      <c r="T1126" s="127"/>
    </row>
    <row r="1127" spans="1:20">
      <c r="A1127" s="127"/>
      <c r="B1127" s="127"/>
      <c r="C1127" s="67"/>
      <c r="E1127" s="127"/>
      <c r="T1127" s="127"/>
    </row>
    <row r="1128" spans="1:20">
      <c r="A1128" s="127"/>
      <c r="B1128" s="127"/>
      <c r="C1128" s="67"/>
      <c r="E1128" s="127"/>
      <c r="T1128" s="127"/>
    </row>
    <row r="1129" spans="1:20">
      <c r="A1129" s="127"/>
      <c r="B1129" s="127"/>
      <c r="C1129" s="67"/>
      <c r="E1129" s="127"/>
      <c r="T1129" s="127"/>
    </row>
    <row r="1130" spans="1:5">
      <c r="A1130" s="127"/>
      <c r="B1130" s="127"/>
      <c r="C1130" s="67"/>
      <c r="E1130" s="127"/>
    </row>
    <row r="1131" spans="1:5">
      <c r="A1131" s="127"/>
      <c r="B1131" s="127"/>
      <c r="C1131" s="67"/>
      <c r="E1131" s="127"/>
    </row>
    <row r="1132" spans="1:5">
      <c r="A1132" s="127"/>
      <c r="B1132" s="127"/>
      <c r="C1132" s="67"/>
      <c r="E1132" s="127"/>
    </row>
    <row r="1133" spans="1:5">
      <c r="A1133" s="127"/>
      <c r="B1133" s="127"/>
      <c r="C1133" s="67"/>
      <c r="E1133" s="127"/>
    </row>
    <row r="1134" spans="1:5">
      <c r="A1134" s="127"/>
      <c r="B1134" s="127"/>
      <c r="C1134" s="67"/>
      <c r="E1134" s="127"/>
    </row>
    <row r="1135" spans="1:5">
      <c r="A1135" s="127"/>
      <c r="B1135" s="127"/>
      <c r="C1135" s="67"/>
      <c r="E1135" s="127"/>
    </row>
    <row r="1136" spans="1:5">
      <c r="A1136" s="127"/>
      <c r="B1136" s="127"/>
      <c r="C1136" s="67"/>
      <c r="E1136" s="127"/>
    </row>
    <row r="1137" spans="1:5">
      <c r="A1137" s="127"/>
      <c r="B1137" s="127"/>
      <c r="C1137" s="67"/>
      <c r="E1137" s="127"/>
    </row>
    <row r="1138" spans="1:5">
      <c r="A1138" s="127"/>
      <c r="B1138" s="127"/>
      <c r="C1138" s="67"/>
      <c r="E1138" s="127"/>
    </row>
    <row r="1139" spans="1:5">
      <c r="A1139" s="127"/>
      <c r="B1139" s="127"/>
      <c r="C1139" s="67"/>
      <c r="E1139" s="127"/>
    </row>
    <row r="1140" spans="1:5">
      <c r="A1140" s="127"/>
      <c r="B1140" s="127"/>
      <c r="C1140" s="67"/>
      <c r="E1140" s="127"/>
    </row>
    <row r="1141" spans="1:5">
      <c r="A1141" s="127"/>
      <c r="B1141" s="127"/>
      <c r="C1141" s="67"/>
      <c r="E1141" s="127"/>
    </row>
    <row r="1142" spans="1:5">
      <c r="A1142" s="127"/>
      <c r="B1142" s="127"/>
      <c r="C1142" s="67"/>
      <c r="E1142" s="127"/>
    </row>
    <row r="1143" spans="1:5">
      <c r="A1143" s="127"/>
      <c r="B1143" s="127"/>
      <c r="C1143" s="67"/>
      <c r="E1143" s="127"/>
    </row>
    <row r="1144" spans="1:5">
      <c r="A1144" s="127"/>
      <c r="B1144" s="127"/>
      <c r="C1144" s="67"/>
      <c r="E1144" s="127"/>
    </row>
    <row r="1145" spans="1:5">
      <c r="A1145" s="127"/>
      <c r="B1145" s="127"/>
      <c r="C1145" s="67"/>
      <c r="E1145" s="127"/>
    </row>
    <row r="1146" spans="1:5">
      <c r="A1146" s="127"/>
      <c r="B1146" s="127"/>
      <c r="C1146" s="67"/>
      <c r="E1146" s="127"/>
    </row>
    <row r="1147" spans="1:5">
      <c r="A1147" s="127"/>
      <c r="B1147" s="127"/>
      <c r="C1147" s="67"/>
      <c r="E1147" s="127"/>
    </row>
    <row r="1148" spans="1:5">
      <c r="A1148" s="127"/>
      <c r="B1148" s="127"/>
      <c r="C1148" s="67"/>
      <c r="E1148" s="127"/>
    </row>
    <row r="1149" spans="1:5">
      <c r="A1149" s="127"/>
      <c r="B1149" s="127"/>
      <c r="C1149" s="67"/>
      <c r="E1149" s="127"/>
    </row>
    <row r="1150" spans="1:5">
      <c r="A1150" s="127"/>
      <c r="B1150" s="127"/>
      <c r="C1150" s="67"/>
      <c r="E1150" s="127"/>
    </row>
    <row r="1151" spans="1:5">
      <c r="A1151" s="127"/>
      <c r="B1151" s="127"/>
      <c r="C1151" s="67"/>
      <c r="E1151" s="127"/>
    </row>
    <row r="1152" spans="1:5">
      <c r="A1152" s="127"/>
      <c r="B1152" s="127"/>
      <c r="C1152" s="67"/>
      <c r="E1152" s="127"/>
    </row>
    <row r="1153" spans="1:5">
      <c r="A1153" s="127"/>
      <c r="B1153" s="127"/>
      <c r="C1153" s="67"/>
      <c r="E1153" s="127"/>
    </row>
    <row r="1154" spans="1:5">
      <c r="A1154" s="127"/>
      <c r="B1154" s="127"/>
      <c r="C1154" s="67"/>
      <c r="E1154" s="127"/>
    </row>
    <row r="1155" spans="1:5">
      <c r="A1155" s="127"/>
      <c r="B1155" s="127"/>
      <c r="C1155" s="67"/>
      <c r="E1155" s="127"/>
    </row>
    <row r="1156" spans="1:5">
      <c r="A1156" s="127"/>
      <c r="B1156" s="127"/>
      <c r="C1156" s="67"/>
      <c r="E1156" s="127"/>
    </row>
    <row r="1157" spans="1:5">
      <c r="A1157" s="127"/>
      <c r="B1157" s="127"/>
      <c r="C1157" s="67"/>
      <c r="E1157" s="127"/>
    </row>
    <row r="1158" spans="1:5">
      <c r="A1158" s="127"/>
      <c r="B1158" s="127"/>
      <c r="C1158" s="67"/>
      <c r="E1158" s="127"/>
    </row>
    <row r="1159" spans="1:5">
      <c r="A1159" s="127"/>
      <c r="B1159" s="127"/>
      <c r="C1159" s="67"/>
      <c r="E1159" s="127"/>
    </row>
    <row r="1160" spans="1:5">
      <c r="A1160" s="127"/>
      <c r="B1160" s="127"/>
      <c r="C1160" s="67"/>
      <c r="E1160" s="127"/>
    </row>
    <row r="1161" spans="1:5">
      <c r="A1161" s="127"/>
      <c r="B1161" s="127"/>
      <c r="C1161" s="67"/>
      <c r="E1161" s="127"/>
    </row>
    <row r="1162" spans="1:5">
      <c r="A1162" s="127"/>
      <c r="B1162" s="127"/>
      <c r="C1162" s="67"/>
      <c r="E1162" s="127"/>
    </row>
    <row r="1163" spans="1:5">
      <c r="A1163" s="127"/>
      <c r="B1163" s="127"/>
      <c r="C1163" s="67"/>
      <c r="E1163" s="127"/>
    </row>
    <row r="1164" spans="1:5">
      <c r="A1164" s="127"/>
      <c r="B1164" s="127"/>
      <c r="C1164" s="67"/>
      <c r="E1164" s="127"/>
    </row>
    <row r="1165" spans="1:5">
      <c r="A1165" s="127"/>
      <c r="B1165" s="127"/>
      <c r="C1165" s="67"/>
      <c r="E1165" s="127"/>
    </row>
    <row r="1166" spans="1:5">
      <c r="A1166" s="127"/>
      <c r="B1166" s="127"/>
      <c r="C1166" s="67"/>
      <c r="E1166" s="127"/>
    </row>
    <row r="1167" spans="1:5">
      <c r="A1167" s="127"/>
      <c r="B1167" s="127"/>
      <c r="C1167" s="67"/>
      <c r="E1167" s="127"/>
    </row>
    <row r="1168" spans="1:5">
      <c r="A1168" s="127"/>
      <c r="B1168" s="127"/>
      <c r="C1168" s="67"/>
      <c r="E1168" s="127"/>
    </row>
    <row r="1169" spans="1:5">
      <c r="A1169" s="127"/>
      <c r="B1169" s="127"/>
      <c r="C1169" s="67"/>
      <c r="E1169" s="127"/>
    </row>
    <row r="1170" spans="1:5">
      <c r="A1170" s="127"/>
      <c r="B1170" s="127"/>
      <c r="C1170" s="67"/>
      <c r="E1170" s="127"/>
    </row>
    <row r="1171" spans="1:5">
      <c r="A1171" s="127"/>
      <c r="B1171" s="127"/>
      <c r="C1171" s="67"/>
      <c r="E1171" s="127"/>
    </row>
    <row r="1172" spans="1:5">
      <c r="A1172" s="127"/>
      <c r="B1172" s="127"/>
      <c r="C1172" s="67"/>
      <c r="E1172" s="127"/>
    </row>
    <row r="1173" spans="1:5">
      <c r="A1173" s="127"/>
      <c r="B1173" s="127"/>
      <c r="C1173" s="67"/>
      <c r="E1173" s="127"/>
    </row>
    <row r="1174" spans="1:5">
      <c r="A1174" s="127"/>
      <c r="B1174" s="127"/>
      <c r="C1174" s="67"/>
      <c r="E1174" s="127"/>
    </row>
    <row r="1175" spans="1:5">
      <c r="A1175" s="127"/>
      <c r="B1175" s="127"/>
      <c r="C1175" s="67"/>
      <c r="E1175" s="127"/>
    </row>
    <row r="1176" spans="1:5">
      <c r="A1176" s="127"/>
      <c r="B1176" s="127"/>
      <c r="C1176" s="67"/>
      <c r="E1176" s="127"/>
    </row>
    <row r="1177" spans="1:5">
      <c r="A1177" s="127"/>
      <c r="B1177" s="127"/>
      <c r="C1177" s="67"/>
      <c r="E1177" s="127"/>
    </row>
    <row r="1178" spans="1:5">
      <c r="A1178" s="127"/>
      <c r="B1178" s="127"/>
      <c r="C1178" s="67"/>
      <c r="E1178" s="127"/>
    </row>
    <row r="1179" spans="1:5">
      <c r="A1179" s="127"/>
      <c r="B1179" s="127"/>
      <c r="C1179" s="67"/>
      <c r="E1179" s="127"/>
    </row>
    <row r="1180" spans="1:5">
      <c r="A1180" s="127"/>
      <c r="B1180" s="127"/>
      <c r="C1180" s="67"/>
      <c r="E1180" s="127"/>
    </row>
    <row r="1181" spans="1:5">
      <c r="A1181" s="127"/>
      <c r="B1181" s="127"/>
      <c r="C1181" s="67"/>
      <c r="E1181" s="127"/>
    </row>
    <row r="1182" spans="1:5">
      <c r="A1182" s="127"/>
      <c r="B1182" s="127"/>
      <c r="C1182" s="67"/>
      <c r="E1182" s="127"/>
    </row>
    <row r="1183" spans="1:5">
      <c r="A1183" s="127"/>
      <c r="B1183" s="127"/>
      <c r="C1183" s="67"/>
      <c r="E1183" s="127"/>
    </row>
    <row r="1184" spans="1:5">
      <c r="A1184" s="127"/>
      <c r="B1184" s="127"/>
      <c r="C1184" s="67"/>
      <c r="E1184" s="127"/>
    </row>
    <row r="1185" spans="3:3">
      <c r="C1185" s="67"/>
    </row>
    <row r="1186" spans="3:3">
      <c r="C1186" s="67"/>
    </row>
    <row r="1187" spans="3:3">
      <c r="C1187" s="67"/>
    </row>
    <row r="1188" spans="3:3">
      <c r="C1188" s="67"/>
    </row>
    <row r="1189" spans="3:3">
      <c r="C1189" s="67"/>
    </row>
    <row r="1190" spans="3:3">
      <c r="C1190" s="67"/>
    </row>
    <row r="1191" spans="3:3">
      <c r="C1191" s="67"/>
    </row>
    <row r="1192" spans="3:3">
      <c r="C1192" s="67"/>
    </row>
    <row r="1193" spans="3:3">
      <c r="C1193" s="67"/>
    </row>
    <row r="1194" spans="3:3">
      <c r="C1194" s="67"/>
    </row>
    <row r="1195" spans="3:3">
      <c r="C1195" s="67"/>
    </row>
    <row r="1196" spans="3:3">
      <c r="C1196" s="67"/>
    </row>
    <row r="1197" spans="3:3">
      <c r="C1197" s="67"/>
    </row>
    <row r="1198" spans="3:3">
      <c r="C1198" s="67"/>
    </row>
    <row r="1199" spans="3:3">
      <c r="C1199" s="67"/>
    </row>
    <row r="1200" spans="3:3">
      <c r="C1200" s="67"/>
    </row>
    <row r="1201" spans="3:3">
      <c r="C1201" s="67"/>
    </row>
    <row r="1202" spans="3:3">
      <c r="C1202" s="67"/>
    </row>
    <row r="1203" spans="3:3">
      <c r="C1203" s="67"/>
    </row>
    <row r="1204" spans="3:3">
      <c r="C1204" s="67"/>
    </row>
    <row r="1205" spans="3:3">
      <c r="C1205" s="67"/>
    </row>
    <row r="1206" spans="3:3">
      <c r="C1206" s="67"/>
    </row>
    <row r="1207" spans="3:3">
      <c r="C1207" s="67"/>
    </row>
    <row r="1208" spans="3:3">
      <c r="C1208" s="67"/>
    </row>
    <row r="1209" spans="3:3">
      <c r="C1209" s="67"/>
    </row>
    <row r="1210" spans="3:3">
      <c r="C1210" s="67"/>
    </row>
    <row r="1211" spans="3:3">
      <c r="C1211" s="67"/>
    </row>
    <row r="1212" spans="3:3">
      <c r="C1212" s="67"/>
    </row>
    <row r="1213" spans="3:3">
      <c r="C1213" s="67"/>
    </row>
    <row r="1214" spans="3:3">
      <c r="C1214" s="67"/>
    </row>
    <row r="1215" spans="3:3">
      <c r="C1215" s="67"/>
    </row>
    <row r="1216" spans="3:3">
      <c r="C1216" s="67"/>
    </row>
    <row r="1217" spans="3:3">
      <c r="C1217" s="67"/>
    </row>
    <row r="1218" spans="3:3">
      <c r="C1218" s="67"/>
    </row>
    <row r="1219" spans="3:3">
      <c r="C1219" s="67"/>
    </row>
    <row r="1220" spans="3:3">
      <c r="C1220" s="67"/>
    </row>
    <row r="1221" spans="3:3">
      <c r="C1221" s="67"/>
    </row>
    <row r="1222" spans="3:3">
      <c r="C1222" s="67"/>
    </row>
    <row r="1223" spans="3:3">
      <c r="C1223" s="67"/>
    </row>
    <row r="1224" spans="3:3">
      <c r="C1224" s="67"/>
    </row>
    <row r="1225" spans="3:3">
      <c r="C1225" s="67"/>
    </row>
    <row r="1226" spans="3:3">
      <c r="C1226" s="67"/>
    </row>
    <row r="1227" spans="3:3">
      <c r="C1227" s="67"/>
    </row>
    <row r="1228" spans="3:3">
      <c r="C1228" s="67"/>
    </row>
    <row r="1229" spans="3:3">
      <c r="C1229" s="67"/>
    </row>
    <row r="1230" spans="3:3">
      <c r="C1230" s="67"/>
    </row>
    <row r="1231" spans="3:3">
      <c r="C1231" s="67"/>
    </row>
    <row r="1232" spans="3:3">
      <c r="C1232" s="67"/>
    </row>
    <row r="1233" spans="3:3">
      <c r="C1233" s="67"/>
    </row>
    <row r="1234" spans="3:3">
      <c r="C1234" s="67"/>
    </row>
    <row r="1235" spans="3:3">
      <c r="C1235" s="67"/>
    </row>
    <row r="1236" spans="3:3">
      <c r="C1236" s="67"/>
    </row>
    <row r="1237" spans="3:3">
      <c r="C1237" s="67"/>
    </row>
    <row r="1238" spans="3:3">
      <c r="C1238" s="67"/>
    </row>
    <row r="1239" spans="3:3">
      <c r="C1239" s="67"/>
    </row>
    <row r="1240" spans="3:3">
      <c r="C1240" s="67"/>
    </row>
    <row r="1241" spans="3:3">
      <c r="C1241" s="67"/>
    </row>
    <row r="1242" spans="3:3">
      <c r="C1242" s="67"/>
    </row>
    <row r="1243" spans="3:3">
      <c r="C1243" s="67"/>
    </row>
    <row r="1244" spans="3:3">
      <c r="C1244" s="67"/>
    </row>
    <row r="1245" spans="3:3">
      <c r="C1245" s="67"/>
    </row>
    <row r="1246" spans="3:3">
      <c r="C1246" s="67"/>
    </row>
    <row r="1247" spans="3:3">
      <c r="C1247" s="67"/>
    </row>
    <row r="1248" spans="3:3">
      <c r="C1248" s="67"/>
    </row>
    <row r="1249" spans="3:3">
      <c r="C1249" s="67"/>
    </row>
    <row r="1250" spans="3:3">
      <c r="C1250" s="67"/>
    </row>
    <row r="1251" spans="3:3">
      <c r="C1251" s="67"/>
    </row>
    <row r="1252" spans="3:3">
      <c r="C1252" s="67"/>
    </row>
    <row r="1253" spans="3:3">
      <c r="C1253" s="67"/>
    </row>
    <row r="1254" spans="3:3">
      <c r="C1254" s="67"/>
    </row>
    <row r="1255" spans="3:3">
      <c r="C1255" s="67"/>
    </row>
    <row r="1256" spans="3:3">
      <c r="C1256" s="67"/>
    </row>
    <row r="1257" spans="3:3">
      <c r="C1257" s="67"/>
    </row>
    <row r="1258" spans="3:3">
      <c r="C1258" s="67"/>
    </row>
    <row r="1259" spans="3:3">
      <c r="C1259" s="67"/>
    </row>
    <row r="1260" spans="3:3">
      <c r="C1260" s="67"/>
    </row>
    <row r="1261" spans="3:3">
      <c r="C1261" s="67"/>
    </row>
    <row r="1262" spans="3:3">
      <c r="C1262" s="67"/>
    </row>
    <row r="1263" spans="3:3">
      <c r="C1263" s="67"/>
    </row>
    <row r="1264" spans="3:3">
      <c r="C1264" s="67"/>
    </row>
    <row r="1265" spans="3:3">
      <c r="C1265" s="67"/>
    </row>
    <row r="1266" spans="3:3">
      <c r="C1266" s="67"/>
    </row>
    <row r="1267" spans="3:3">
      <c r="C1267" s="67"/>
    </row>
    <row r="1268" spans="3:3">
      <c r="C1268" s="67"/>
    </row>
    <row r="1269" spans="3:3">
      <c r="C1269" s="67"/>
    </row>
    <row r="1270" spans="3:3">
      <c r="C1270" s="67"/>
    </row>
    <row r="1271" spans="3:3">
      <c r="C1271" s="67"/>
    </row>
    <row r="1272" spans="3:3">
      <c r="C1272" s="67"/>
    </row>
    <row r="1273" spans="3:3">
      <c r="C1273" s="67"/>
    </row>
    <row r="1274" spans="3:3">
      <c r="C1274" s="67"/>
    </row>
    <row r="1275" spans="3:3">
      <c r="C1275" s="67"/>
    </row>
    <row r="1276" spans="3:3">
      <c r="C1276" s="67"/>
    </row>
    <row r="1277" spans="3:3">
      <c r="C1277" s="67"/>
    </row>
    <row r="1278" spans="3:3">
      <c r="C1278" s="67"/>
    </row>
    <row r="1279" spans="3:3">
      <c r="C1279" s="67"/>
    </row>
    <row r="1280" spans="3:3">
      <c r="C1280" s="67"/>
    </row>
    <row r="1281" spans="3:3">
      <c r="C1281" s="67"/>
    </row>
    <row r="1282" spans="3:3">
      <c r="C1282" s="67"/>
    </row>
    <row r="1283" spans="3:3">
      <c r="C1283" s="67"/>
    </row>
    <row r="1284" spans="3:3">
      <c r="C1284" s="67"/>
    </row>
    <row r="1285" spans="3:3">
      <c r="C1285" s="67"/>
    </row>
    <row r="1286" spans="3:3">
      <c r="C1286" s="67"/>
    </row>
    <row r="1287" spans="3:3">
      <c r="C1287" s="67"/>
    </row>
    <row r="1288" spans="3:3">
      <c r="C1288" s="67"/>
    </row>
    <row r="1289" spans="3:3">
      <c r="C1289" s="67"/>
    </row>
    <row r="1290" spans="3:3">
      <c r="C1290" s="67"/>
    </row>
    <row r="1291" spans="3:3">
      <c r="C1291" s="67"/>
    </row>
    <row r="1292" spans="3:3">
      <c r="C1292" s="67"/>
    </row>
    <row r="1293" spans="3:3">
      <c r="C1293" s="67"/>
    </row>
    <row r="1294" spans="3:3">
      <c r="C1294" s="67"/>
    </row>
    <row r="1295" spans="3:3">
      <c r="C1295" s="67"/>
    </row>
    <row r="1296" spans="3:3">
      <c r="C1296" s="67"/>
    </row>
    <row r="1297" spans="3:3">
      <c r="C1297" s="67"/>
    </row>
    <row r="1298" spans="3:3">
      <c r="C1298" s="67"/>
    </row>
    <row r="1299" spans="3:3">
      <c r="C1299" s="67"/>
    </row>
    <row r="1300" spans="3:3">
      <c r="C1300" s="67"/>
    </row>
    <row r="1301" spans="3:3">
      <c r="C1301" s="67"/>
    </row>
    <row r="1302" spans="3:3">
      <c r="C1302" s="67"/>
    </row>
    <row r="1303" spans="3:3">
      <c r="C1303" s="67"/>
    </row>
    <row r="1304" spans="3:3">
      <c r="C1304" s="67"/>
    </row>
    <row r="1305" spans="3:3">
      <c r="C1305" s="67"/>
    </row>
    <row r="1306" spans="3:3">
      <c r="C1306" s="67"/>
    </row>
    <row r="1307" spans="3:3">
      <c r="C1307" s="67"/>
    </row>
    <row r="1308" spans="3:3">
      <c r="C1308" s="67"/>
    </row>
    <row r="1309" spans="3:3">
      <c r="C1309" s="67"/>
    </row>
    <row r="1310" spans="3:3">
      <c r="C1310" s="67"/>
    </row>
    <row r="1311" spans="3:3">
      <c r="C1311" s="67"/>
    </row>
    <row r="1312" spans="3:3">
      <c r="C1312" s="67"/>
    </row>
    <row r="1313" spans="3:3">
      <c r="C1313" s="67"/>
    </row>
    <row r="1314" spans="3:3">
      <c r="C1314" s="67"/>
    </row>
    <row r="1315" spans="3:3">
      <c r="C1315" s="67"/>
    </row>
    <row r="1316" spans="3:3">
      <c r="C1316" s="67"/>
    </row>
    <row r="1317" spans="3:3">
      <c r="C1317" s="67"/>
    </row>
    <row r="1318" spans="3:3">
      <c r="C1318" s="67"/>
    </row>
    <row r="1319" spans="3:3">
      <c r="C1319" s="67"/>
    </row>
    <row r="1320" spans="3:3">
      <c r="C1320" s="67"/>
    </row>
    <row r="1321" spans="3:3">
      <c r="C1321" s="67"/>
    </row>
    <row r="1322" spans="3:3">
      <c r="C1322" s="67"/>
    </row>
    <row r="1323" spans="3:3">
      <c r="C1323" s="67"/>
    </row>
    <row r="1324" spans="3:3">
      <c r="C1324" s="67"/>
    </row>
    <row r="1325" spans="3:3">
      <c r="C1325" s="67"/>
    </row>
    <row r="1326" spans="3:3">
      <c r="C1326" s="67"/>
    </row>
    <row r="1327" spans="3:3">
      <c r="C1327" s="67"/>
    </row>
    <row r="1328" spans="3:3">
      <c r="C1328" s="67"/>
    </row>
    <row r="1329" spans="3:3">
      <c r="C1329" s="67"/>
    </row>
    <row r="1330" spans="3:3">
      <c r="C1330" s="67"/>
    </row>
    <row r="1331" spans="3:3">
      <c r="C1331" s="67"/>
    </row>
    <row r="1332" spans="3:3">
      <c r="C1332" s="67"/>
    </row>
    <row r="1333" spans="3:3">
      <c r="C1333" s="67"/>
    </row>
    <row r="1334" spans="3:3">
      <c r="C1334" s="67"/>
    </row>
    <row r="1335" spans="3:3">
      <c r="C1335" s="67"/>
    </row>
    <row r="1336" spans="3:3">
      <c r="C1336" s="67"/>
    </row>
    <row r="1337" spans="3:3">
      <c r="C1337" s="67"/>
    </row>
    <row r="1338" spans="3:3">
      <c r="C1338" s="67"/>
    </row>
    <row r="1339" spans="3:3">
      <c r="C1339" s="67"/>
    </row>
    <row r="1340" spans="3:3">
      <c r="C1340" s="67"/>
    </row>
    <row r="1341" spans="3:3">
      <c r="C1341" s="67"/>
    </row>
    <row r="1342" spans="3:3">
      <c r="C1342" s="67"/>
    </row>
    <row r="1343" spans="3:3">
      <c r="C1343" s="67"/>
    </row>
    <row r="1344" spans="3:3">
      <c r="C1344" s="67"/>
    </row>
    <row r="1345" spans="3:3">
      <c r="C1345" s="67"/>
    </row>
    <row r="1346" spans="3:3">
      <c r="C1346" s="67"/>
    </row>
    <row r="1347" spans="3:3">
      <c r="C1347" s="67"/>
    </row>
    <row r="1348" spans="3:3">
      <c r="C1348" s="67"/>
    </row>
    <row r="1349" spans="3:3">
      <c r="C1349" s="67"/>
    </row>
    <row r="1350" spans="3:3">
      <c r="C1350" s="67"/>
    </row>
    <row r="1351" spans="3:3">
      <c r="C1351" s="67"/>
    </row>
    <row r="1352" spans="3:3">
      <c r="C1352" s="67"/>
    </row>
    <row r="1353" spans="3:3">
      <c r="C1353" s="67"/>
    </row>
    <row r="1354" spans="3:3">
      <c r="C1354" s="67"/>
    </row>
    <row r="1355" spans="3:3">
      <c r="C1355" s="67"/>
    </row>
    <row r="1356" spans="3:3">
      <c r="C1356" s="67"/>
    </row>
    <row r="1357" spans="3:3">
      <c r="C1357" s="67"/>
    </row>
    <row r="1358" spans="3:3">
      <c r="C1358" s="67"/>
    </row>
    <row r="1359" spans="3:3">
      <c r="C1359" s="67"/>
    </row>
    <row r="1360" spans="3:3">
      <c r="C1360" s="67"/>
    </row>
    <row r="1361" spans="3:3">
      <c r="C1361" s="67"/>
    </row>
    <row r="1362" spans="3:3">
      <c r="C1362" s="67"/>
    </row>
    <row r="1363" spans="3:3">
      <c r="C1363" s="67"/>
    </row>
    <row r="1364" spans="3:3">
      <c r="C1364" s="67"/>
    </row>
    <row r="1365" spans="3:3">
      <c r="C1365" s="67"/>
    </row>
  </sheetData>
  <autoFilter ref="A8:N1117"/>
  <pageMargins left="0.24" right="0.2" top="0.26" bottom="0.17" header="0.16" footer="0.18"/>
  <pageSetup paperSize="9" scale="58" fitToHeight="12" orientation="landscape"/>
  <headerFooter scaleWithDoc="1" alignWithMargins="0" differentFirst="0" differentOddEven="0"/>
  <rowBreaks count="2" manualBreakCount="2">
    <brk id="536" max="3" man="1"/>
    <brk id="1064" max="3" man="1"/>
  </rowBreaks>
  <legacyDrawing r:id="rId2"/>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
    <tabColor rgb="FFFFFF00"/>
    <pageSetUpPr fitToPage="1"/>
  </sheetPr>
  <dimension ref="A1:I44"/>
  <sheetViews>
    <sheetView zoomScale="70" view="normal" workbookViewId="0">
      <selection pane="topLeft" activeCell="F30" sqref="F30"/>
    </sheetView>
  </sheetViews>
  <sheetFormatPr defaultRowHeight="12.5"/>
  <cols>
    <col min="1" max="1" width="54" style="14" customWidth="1"/>
    <col min="2" max="2" width="21.84765625" style="30" customWidth="1"/>
    <col min="3" max="3" width="7.41796875" customWidth="1"/>
    <col min="4" max="4" width="54" customWidth="1"/>
    <col min="5" max="5" width="21.84765625" customWidth="1"/>
    <col min="6" max="6" width="3.41796875" customWidth="1"/>
    <col min="7" max="7" width="49.7109375" customWidth="1"/>
    <col min="8" max="8" width="21.84765625" customWidth="1"/>
  </cols>
  <sheetData>
    <row r="1" spans="1:8" ht="14.5">
      <c r="A1" s="200" t="s">
        <v>1859</v>
      </c>
      <c r="D1" s="200" t="s">
        <v>1896</v>
      </c>
      <c r="E1" s="30"/>
      <c r="G1" s="190"/>
      <c r="H1" s="191"/>
    </row>
    <row r="2" spans="1:8" s="26" customFormat="1" ht="19.5" customHeight="1">
      <c r="A2" s="201" t="s">
        <v>60</v>
      </c>
      <c r="B2" s="204">
        <f>(('Per patient Arm 2'!AV47+'Per patient Arm 2'!AV82)*'Study Information &amp; rates'!B27)+(('Per patient Arm 1'!AV46+'Per patient Arm 1'!AV81)*'Study Information &amp; rates'!B28)+(('Per patient Arm 3'!AV47+'Per patient Arm 3'!AV82)*'Study Information &amp; rates'!B29)+(('Per patient Arm 4'!AV47+'Per patient Arm 4'!AV82)*'Study Information &amp; rates'!B30)+(('Per patient Arm 5'!AV47+'Per patient Arm 5'!AV82)*'Study Information &amp; rates'!B31)</f>
        <v>0</v>
      </c>
      <c r="D2" s="201" t="s">
        <v>60</v>
      </c>
      <c r="E2" s="276">
        <f>((SUMIF('Per patient Arm 2'!$B:$B,'Look Up'!A6,'Per patient Arm 2'!$AV:$AV)+SUMIF('Per patient Arm 2'!$B:$B,'Look Up'!A7,'Per patient Arm 2'!$AV:$AV))*'Study Information &amp; rates'!B27)+((SUMIF('Per patient Arm 1'!$B:$B,'Look Up'!A6,'Per patient Arm 1'!$AV:$AV)+SUMIF('Per patient Arm 1'!$B:$B,'Look Up'!A7,'Per patient Arm 1'!$AV:$AV))*'Study Information &amp; rates'!B28)+((SUMIF('Per patient Arm 3'!$B:$B,'Look Up'!A6,'Per patient Arm 3'!$AV:$AV)+SUMIF('Per patient Arm 3'!$B:$B,'Look Up'!A7,'Per patient Arm 3'!$AV:$AV))*'Study Information &amp; rates'!B29)+((SUMIF('Per patient Arm 4'!$B:$B,'Look Up'!A6,'Per patient Arm 4'!$AV:$AV)+SUMIF('Per patient Arm 4'!$B:$B,'Look Up'!A7,'Per patient Arm 4'!$AV:$AV))*'Study Information &amp; rates'!B30)+((SUMIF('Per patient Arm 5'!$B:$B,'Look Up'!A6,'Per patient Arm 5'!$AV:$AV)+SUMIF('Per patient Arm 5'!$B:$B,'Look Up'!A7,'Per patient Arm 5'!$AV:$AV))*'Study Information &amp; rates'!B31)</f>
        <v>0</v>
      </c>
      <c r="G2" s="253"/>
      <c r="H2" s="226"/>
    </row>
    <row r="3" spans="1:8" s="29" customFormat="1" ht="14.5">
      <c r="A3" s="203" t="s">
        <v>1906</v>
      </c>
      <c r="B3" s="205">
        <f>'Additional Study Activities'!N27</f>
        <v>0</v>
      </c>
      <c r="D3" s="203" t="s">
        <v>36</v>
      </c>
      <c r="E3" s="205">
        <f>'Additional Study Activities'!N27</f>
        <v>0</v>
      </c>
      <c r="G3" s="228"/>
      <c r="H3" s="229"/>
    </row>
    <row r="4" spans="1:8" s="29" customFormat="1" ht="14.5">
      <c r="A4" s="203" t="s">
        <v>1907</v>
      </c>
      <c r="B4" s="205">
        <f>'Set-up and other costs'!C10</f>
        <v>500</v>
      </c>
      <c r="D4" s="203" t="s">
        <v>37</v>
      </c>
      <c r="E4" s="281">
        <f>'Set-up and other costs'!C10</f>
        <v>500</v>
      </c>
      <c r="G4" s="228"/>
      <c r="H4" s="229"/>
    </row>
    <row r="5" spans="1:8" s="29" customFormat="1" ht="14.5">
      <c r="A5" s="203" t="s">
        <v>1908</v>
      </c>
      <c r="B5" s="205" t="e">
        <f>'Set-up and other costs'!#REF!</f>
        <v>#REF!</v>
      </c>
      <c r="D5" s="203" t="s">
        <v>38</v>
      </c>
      <c r="E5" s="205" t="e">
        <f>'Set-up and other costs'!#REF!</f>
        <v>#REF!</v>
      </c>
      <c r="G5" s="228"/>
      <c r="H5" s="229"/>
    </row>
    <row r="6" spans="1:8" s="29" customFormat="1" ht="14.5">
      <c r="A6" s="203" t="s">
        <v>51</v>
      </c>
      <c r="B6" s="205" t="e">
        <f>Pharmacy!J27+'Pharmacy'!#REF!+'Pharmacy'!#REF!</f>
        <v>#REF!</v>
      </c>
      <c r="D6" s="203" t="s">
        <v>51</v>
      </c>
      <c r="E6" s="205" t="e">
        <f>Pharmacy!J27+'Pharmacy'!#REF!+'Pharmacy'!#REF!</f>
        <v>#REF!</v>
      </c>
      <c r="G6" s="228"/>
      <c r="H6" s="229"/>
    </row>
    <row r="7" spans="2:8">
      <c r="B7" s="51"/>
      <c r="D7" s="14"/>
      <c r="E7" s="51"/>
      <c r="G7" s="190"/>
      <c r="H7" s="196"/>
    </row>
    <row r="8" spans="1:8" ht="14.5">
      <c r="A8" s="52" t="s">
        <v>62</v>
      </c>
      <c r="B8" s="53" t="e">
        <f>SUM(B2:B7)</f>
        <v>#REF!</v>
      </c>
      <c r="D8" s="52" t="s">
        <v>62</v>
      </c>
      <c r="E8" s="53" t="e">
        <f>SUM(E2:E7)</f>
        <v>#REF!</v>
      </c>
      <c r="G8" s="197"/>
      <c r="H8" s="196"/>
    </row>
    <row r="9" spans="1:8" ht="14.5">
      <c r="A9" s="52" t="s">
        <v>64</v>
      </c>
      <c r="B9" s="55">
        <v>-6000</v>
      </c>
      <c r="D9" s="52" t="s">
        <v>64</v>
      </c>
      <c r="E9" s="55">
        <v>-6000</v>
      </c>
      <c r="G9" s="197"/>
      <c r="H9" s="198"/>
    </row>
    <row r="10" spans="1:8" ht="14.5">
      <c r="A10" s="52" t="s">
        <v>63</v>
      </c>
      <c r="B10" s="54" t="e">
        <f>B8+B9</f>
        <v>#REF!</v>
      </c>
      <c r="D10" s="52" t="s">
        <v>63</v>
      </c>
      <c r="E10" s="54" t="e">
        <f>E8+E9</f>
        <v>#REF!</v>
      </c>
      <c r="G10" s="197"/>
      <c r="H10" s="199"/>
    </row>
    <row r="11" spans="7:8">
      <c r="G11" s="210"/>
      <c r="H11" s="210"/>
    </row>
    <row r="12" spans="1:9" s="26" customFormat="1" ht="18.75" customHeight="1">
      <c r="A12" s="202" t="s">
        <v>35</v>
      </c>
      <c r="B12" s="204">
        <f>('Per patient Arm 2'!A3*'Study Information &amp; rates'!B27)+('Per patient Arm 1'!B2*'Study Information &amp; rates'!B28)+('Per patient Arm 3'!A3*'Study Information &amp; rates'!B29)+('Per patient Arm 4'!A3*'Study Information &amp; rates'!B30)+('Per patient Arm 5'!A3*'Study Information &amp; rates'!B31)</f>
        <v>0</v>
      </c>
      <c r="C12" s="27"/>
      <c r="D12" s="202" t="s">
        <v>35</v>
      </c>
      <c r="E12" s="204">
        <f>('Per patient Arm 2'!BG92*'Study Information &amp; rates'!B27)+('Per patient Arm 1'!BG91*'Study Information &amp; rates'!B28)+('Per patient Arm 3'!BG92*'Study Information &amp; rates'!B29)+('Per patient Arm 4'!BG92*'Study Information &amp; rates'!B30)+('Per patient Arm 5'!BG92*'Study Information &amp; rates'!B31)</f>
        <v>0</v>
      </c>
      <c r="F12" s="28"/>
      <c r="G12" s="227"/>
      <c r="H12" s="226"/>
      <c r="I12" s="27"/>
    </row>
    <row r="13" spans="7:8">
      <c r="G13" s="210"/>
      <c r="H13" s="210"/>
    </row>
    <row r="14" spans="1:8">
      <c r="A14" s="14" t="s">
        <v>65</v>
      </c>
      <c r="D14" s="14" t="s">
        <v>65</v>
      </c>
      <c r="E14" s="30"/>
      <c r="G14" s="190"/>
      <c r="H14" s="191"/>
    </row>
    <row r="15" spans="1:8">
      <c r="A15" s="14" t="s">
        <v>1</v>
      </c>
      <c r="B15" s="56">
        <f>IFERROR(((SUM('Per patient Arm 2'!H48:AP48)*'Study Information &amp; rates'!#REF!)+(SUM('Per patient Arm 1'!H47:AP47)*'Study Information &amp; rates'!#REF!)+(SUM('Per patient Arm 3'!H48:AP48)*'Study Information &amp; rates'!#REF!)+(SUM('Per patient Arm 4'!H48:AP48)*'Study Information &amp; rates'!#REF!)+(SUM('Per patient Arm 5'!H48:AP48)*'Study Information &amp; rates'!#REF!)+SUM('Additional Study Activities'!E4:E26))/60/(4.33*'Study Information &amp; rates'!B45)/37.5,0)</f>
        <v>0</v>
      </c>
      <c r="D15" s="14" t="s">
        <v>1</v>
      </c>
      <c r="E15" s="56">
        <f>IFERROR((((SUM(#REF!)+SUM(#REF!))*'Study Information &amp; rates'!B27)+SUM('Additional Study Activities'!E4:E26))/60/(4.33*'Study Information &amp; rates'!B45)/37.5,0)</f>
        <v>0</v>
      </c>
      <c r="G15" s="190"/>
      <c r="H15" s="230"/>
    </row>
    <row r="16" spans="1:8">
      <c r="A16" s="14" t="s">
        <v>66</v>
      </c>
      <c r="B16" s="56">
        <f>IFERROR(((SUM('Per patient Arm 2'!H50:AP50)*'Study Information &amp; rates'!B27)+SUM('Additional Study Activities'!G4:G26))/60/(4.33*'Study Information &amp; rates'!B45)/37.5,0)</f>
        <v>0</v>
      </c>
      <c r="D16" s="14" t="s">
        <v>66</v>
      </c>
      <c r="E16" s="56">
        <f>IFERROR((((SUM(#REF!)+SUM(#REF!))*'Study Information &amp; rates'!B27)+SUM('Additional Study Activities'!G4:G26))/60/(4.33*'Study Information &amp; rates'!B45)/37.5,0)</f>
        <v>0</v>
      </c>
      <c r="G16" s="190"/>
      <c r="H16" s="230"/>
    </row>
    <row r="17" spans="1:8">
      <c r="A17" s="14" t="s">
        <v>67</v>
      </c>
      <c r="B17" s="56"/>
      <c r="D17" s="14" t="s">
        <v>67</v>
      </c>
      <c r="E17" s="56"/>
      <c r="G17" s="190"/>
      <c r="H17" s="230"/>
    </row>
    <row r="18" spans="1:8">
      <c r="A18" s="14" t="s">
        <v>1909</v>
      </c>
      <c r="B18" s="56">
        <f>IFERROR(((SUM('Per patient Arm 2'!H51:AP51)*'Study Information &amp; rates'!B27)+SUM('Additional Study Activities'!I4:I26))/60/(4.33*'Study Information &amp; rates'!B45)/37.5,0)</f>
        <v>0</v>
      </c>
      <c r="D18" s="14" t="s">
        <v>1965</v>
      </c>
      <c r="E18" s="56">
        <f>IFERROR((((SUM(#REF!)+SUM(#REF!))*'Study Information &amp; rates'!B27)+SUM('Additional Study Activities'!I4:I26))/60/(4.33*'Study Information &amp; rates'!B45)/37.5,0)</f>
        <v>0</v>
      </c>
      <c r="G18" s="190"/>
      <c r="H18" s="230"/>
    </row>
    <row r="20" spans="1:7" ht="14.5">
      <c r="A20" s="192" t="s">
        <v>1897</v>
      </c>
      <c r="B20" s="264">
        <f>SUMIF('Per patient Arm 2'!$B:$B,'Look Up'!A5,'Per patient Arm 2'!$AV:$AV)*'Study Information &amp; rates'!$B$27+SUMIF('Per patient Arm 1'!$B:$B,'Look Up'!A5,'Per patient Arm 1'!$AV:$AV)*'Study Information &amp; rates'!$B$28+SUMIF('Per patient Arm 3'!$B:$B,'Look Up'!A5,'Per patient Arm 3'!$AV:$AV)*'Study Information &amp; rates'!$B$29+SUMIF('Per patient Arm 4'!$B:$B,'Look Up'!A5,'Per patient Arm 4'!$AV:$AV)*'Study Information &amp; rates'!$B$30+SUMIF('Per patient Arm 5'!$B:$B,'Look Up'!A5,'Per patient Arm 5'!$AV:$AV)*'Study Information &amp; rates'!$B$31</f>
        <v>0</v>
      </c>
      <c r="C20" s="265"/>
      <c r="D20" s="265"/>
      <c r="G20" s="239"/>
    </row>
    <row r="21" spans="1:7" ht="14.5">
      <c r="A21" s="192" t="s">
        <v>1898</v>
      </c>
      <c r="B21" s="264">
        <f>SUMIF('Per patient Arm 2'!$B:$B,'Look Up'!A6,'Per patient Arm 2'!$AV:$AV)*'Study Information &amp; rates'!$B$27+SUMIF('Per patient Arm 1'!$B:$B,'Look Up'!A6,'Per patient Arm 1'!$AV:$AV)*'Study Information &amp; rates'!$B$28+SUMIF('Per patient Arm 3'!$B:$B,'Look Up'!A6,'Per patient Arm 3'!$AV:$AV)*'Study Information &amp; rates'!$B$29+SUMIF('Per patient Arm 4'!$B:$B,'Look Up'!A6,'Per patient Arm 4'!$AV:$AV)*'Study Information &amp; rates'!$B$30+SUMIF('Per patient Arm 5'!$B:$B,'Look Up'!A6,'Per patient Arm 5'!$AV:$AV)*'Study Information &amp; rates'!$B$31</f>
        <v>0</v>
      </c>
      <c r="C21" s="265"/>
      <c r="D21" s="265"/>
      <c r="G21" s="239"/>
    </row>
    <row r="22" spans="1:2" ht="14.5">
      <c r="A22" s="193" t="s">
        <v>1899</v>
      </c>
      <c r="B22" s="264">
        <f>SUMIF('Per patient Arm 2'!$B:$B,'Look Up'!A7,'Per patient Arm 2'!$AV:$AV)*'Study Information &amp; rates'!$B$27+SUMIF('Per patient Arm 1'!$B:$B,'Look Up'!A7,'Per patient Arm 1'!$AV:$AV)*'Study Information &amp; rates'!$B$28+SUMIF('Per patient Arm 3'!$B:$B,'Look Up'!A7,'Per patient Arm 3'!$AV:$AV)*'Study Information &amp; rates'!$B$29+SUMIF('Per patient Arm 4'!$B:$B,'Look Up'!A7,'Per patient Arm 4'!$AV:$AV)*'Study Information &amp; rates'!$B$30+SUMIF('Per patient Arm 5'!$B:$B,'Look Up'!A7,'Per patient Arm 5'!$AV:$AV)*'Study Information &amp; rates'!$B$31</f>
        <v>0</v>
      </c>
    </row>
    <row r="23" spans="1:2" customFormat="1" ht="14.5">
      <c r="A23" s="193"/>
      <c r="B23" s="264"/>
    </row>
    <row r="24" spans="1:3" customFormat="1" ht="14.5">
      <c r="A24" s="193"/>
      <c r="B24" s="264">
        <f>SUM(B20:B23)</f>
        <v>0</v>
      </c>
      <c r="C24" s="13" t="b">
        <f>B24=B2</f>
        <v>1</v>
      </c>
    </row>
    <row r="25" spans="1:4" ht="14.5">
      <c r="A25" s="194"/>
      <c r="B25" s="195"/>
      <c r="D25" s="239"/>
    </row>
    <row r="26" spans="1:2" ht="21">
      <c r="A26" s="235" t="s">
        <v>1905</v>
      </c>
      <c r="B26" s="236"/>
    </row>
    <row r="27" spans="1:4" ht="14.5">
      <c r="A27" s="234" t="s">
        <v>24</v>
      </c>
      <c r="B27" s="234" t="s">
        <v>25</v>
      </c>
      <c r="D27" s="239"/>
    </row>
    <row r="28" spans="1:2" ht="14.5">
      <c r="A28" s="233" t="e">
        <f>IF('Set-up and other costs'!#REF!="","",'Set-up and other costs'!#REF!)</f>
        <v>#REF!</v>
      </c>
      <c r="B28" s="205" t="e">
        <f>'Set-up and other costs'!#REF!</f>
        <v>#REF!</v>
      </c>
    </row>
    <row r="29" spans="1:2" ht="14.5">
      <c r="A29" s="233" t="e">
        <f>IF('Set-up and other costs'!#REF!="","",'Set-up and other costs'!#REF!)</f>
        <v>#REF!</v>
      </c>
      <c r="B29" s="205" t="e">
        <f>'Set-up and other costs'!#REF!</f>
        <v>#REF!</v>
      </c>
    </row>
    <row r="30" spans="1:2" ht="14.5">
      <c r="A30" s="233" t="e">
        <f>IF('Set-up and other costs'!#REF!="","",'Set-up and other costs'!#REF!)</f>
        <v>#REF!</v>
      </c>
      <c r="B30" s="205" t="e">
        <f>'Set-up and other costs'!#REF!</f>
        <v>#REF!</v>
      </c>
    </row>
    <row r="31" spans="1:2" ht="14.5">
      <c r="A31" s="233" t="e">
        <f>IF('Set-up and other costs'!#REF!="","",'Set-up and other costs'!#REF!)</f>
        <v>#REF!</v>
      </c>
      <c r="B31" s="205" t="e">
        <f>'Set-up and other costs'!#REF!</f>
        <v>#REF!</v>
      </c>
    </row>
    <row r="32" spans="1:2" ht="14.5">
      <c r="A32" s="233" t="e">
        <f>IF('Set-up and other costs'!#REF!="","",'Set-up and other costs'!#REF!)</f>
        <v>#REF!</v>
      </c>
      <c r="B32" s="205" t="e">
        <f>'Set-up and other costs'!#REF!</f>
        <v>#REF!</v>
      </c>
    </row>
    <row r="33" spans="1:2" ht="14.5">
      <c r="A33" s="233" t="e">
        <f>IF('Set-up and other costs'!#REF!="","",'Set-up and other costs'!#REF!)</f>
        <v>#REF!</v>
      </c>
      <c r="B33" s="205" t="e">
        <f>'Set-up and other costs'!#REF!</f>
        <v>#REF!</v>
      </c>
    </row>
    <row r="34" spans="1:2" ht="14.5">
      <c r="A34" s="233" t="e">
        <f>IF('Set-up and other costs'!#REF!="","",'Set-up and other costs'!#REF!)</f>
        <v>#REF!</v>
      </c>
      <c r="B34" s="205" t="e">
        <f>'Set-up and other costs'!#REF!</f>
        <v>#REF!</v>
      </c>
    </row>
    <row r="35" spans="1:2" ht="14.5">
      <c r="A35" s="233" t="e">
        <f>IF('Set-up and other costs'!#REF!="","",'Set-up and other costs'!#REF!)</f>
        <v>#REF!</v>
      </c>
      <c r="B35" s="205" t="e">
        <f>'Set-up and other costs'!#REF!</f>
        <v>#REF!</v>
      </c>
    </row>
    <row r="36" spans="1:2" ht="14.5">
      <c r="A36" s="233" t="e">
        <f>IF('Set-up and other costs'!#REF!="","",'Set-up and other costs'!#REF!)</f>
        <v>#REF!</v>
      </c>
      <c r="B36" s="205" t="e">
        <f>'Set-up and other costs'!#REF!</f>
        <v>#REF!</v>
      </c>
    </row>
    <row r="37" spans="1:2" ht="14.5">
      <c r="A37" s="233" t="e">
        <f>IF('Set-up and other costs'!#REF!="","",'Set-up and other costs'!#REF!)</f>
        <v>#REF!</v>
      </c>
      <c r="B37" s="205" t="e">
        <f>'Set-up and other costs'!#REF!</f>
        <v>#REF!</v>
      </c>
    </row>
    <row r="38" spans="1:2" ht="14.5">
      <c r="A38" s="233" t="e">
        <f>IF('Set-up and other costs'!#REF!="","",'Set-up and other costs'!#REF!)</f>
        <v>#REF!</v>
      </c>
      <c r="B38" s="205" t="e">
        <f>'Set-up and other costs'!#REF!</f>
        <v>#REF!</v>
      </c>
    </row>
    <row r="39" spans="1:2" ht="14.5">
      <c r="A39" s="233" t="e">
        <f>IF('Set-up and other costs'!#REF!="","",'Set-up and other costs'!#REF!)</f>
        <v>#REF!</v>
      </c>
      <c r="B39" s="205" t="e">
        <f>'Set-up and other costs'!#REF!</f>
        <v>#REF!</v>
      </c>
    </row>
    <row r="40" spans="1:2" ht="14.5">
      <c r="A40" s="233" t="e">
        <f>IF('Set-up and other costs'!#REF!="","",'Set-up and other costs'!#REF!)</f>
        <v>#REF!</v>
      </c>
      <c r="B40" s="205" t="e">
        <f>'Set-up and other costs'!#REF!</f>
        <v>#REF!</v>
      </c>
    </row>
    <row r="41" spans="1:2">
      <c r="A41" s="190"/>
      <c r="B41" s="196"/>
    </row>
    <row r="42" spans="1:2" ht="14.5">
      <c r="A42" s="197"/>
      <c r="B42" s="196"/>
    </row>
    <row r="43" spans="1:2" ht="14.5">
      <c r="A43" s="197"/>
      <c r="B43" s="198"/>
    </row>
    <row r="44" spans="1:2" ht="14.5">
      <c r="A44" s="197"/>
      <c r="B44" s="199"/>
    </row>
  </sheetData>
  <conditionalFormatting sqref="C24">
    <cfRule type="containsText" dxfId="61" operator="containsText" text="False" priority="1">
      <formula>NOT(ISERROR(SEARCH("False",C24)))</formula>
    </cfRule>
    <cfRule type="containsText" dxfId="62" operator="containsText" text="True" priority="2">
      <formula>NOT(ISERROR(SEARCH("True",C24)))</formula>
    </cfRule>
  </conditionalFormatting>
  <dataValidations count="1">
    <dataValidation type="decimal" operator="lessThanOrEqual" showInputMessage="1" showErrorMessage="1" error="Please use minus (-) before figure." sqref="E9 B9">
      <formula1>0</formula1>
    </dataValidation>
  </dataValidations>
  <pageMargins left="0.70866141732283472" right="0.70866141732283472" top="0.74803149606299213" bottom="0.74803149606299213" header="0.31496062992125984" footer="0.31496062992125984"/>
  <pageSetup paperSize="9" scale="82" orientation="landscape"/>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8">
    <tabColor rgb="FFFFFF00"/>
  </sheetPr>
  <dimension ref="A1:L42"/>
  <sheetViews>
    <sheetView topLeftCell="D1" view="normal" workbookViewId="0">
      <selection pane="topLeft" activeCell="F30" sqref="F30"/>
    </sheetView>
  </sheetViews>
  <sheetFormatPr defaultColWidth="9.1796875" defaultRowHeight="12.5"/>
  <cols>
    <col min="1" max="1" width="14.84765625" customWidth="1"/>
    <col min="2" max="2" width="34.140625" customWidth="1"/>
    <col min="3" max="5" width="12.5703125" customWidth="1"/>
    <col min="6" max="6" width="21.41796875" style="241" customWidth="1"/>
    <col min="7" max="7" width="12.5703125" style="242" customWidth="1"/>
    <col min="8" max="8" width="11.41796875" customWidth="1"/>
    <col min="9" max="9" width="27.27734375" customWidth="1"/>
    <col min="10" max="10" width="25.41796875" customWidth="1"/>
    <col min="11" max="11" width="22.7109375" customWidth="1"/>
    <col min="12" max="12" width="22.41796875" customWidth="1"/>
    <col min="13" max="16384" width="9.140625" customWidth="1"/>
  </cols>
  <sheetData>
    <row r="1" spans="1:7" ht="18.5">
      <c r="A1" s="240" t="s">
        <v>1914</v>
      </c>
      <c r="B1" t="s">
        <v>1915</v>
      </c>
      <c r="C1" t="s">
        <v>1916</v>
      </c>
      <c r="G1" s="242">
        <f>'[6]Total summary'!B10</f>
        <v>0</v>
      </c>
    </row>
    <row r="2" spans="1:1" ht="18.5">
      <c r="A2" s="240"/>
    </row>
    <row r="3" spans="1:3" ht="18.5">
      <c r="A3" s="240"/>
      <c r="B3" t="s">
        <v>1917</v>
      </c>
      <c r="C3" t="s">
        <v>1918</v>
      </c>
    </row>
    <row r="4" spans="1:1" ht="18.5">
      <c r="A4" s="240"/>
    </row>
    <row r="5" spans="1:3" ht="18.5">
      <c r="A5" s="240"/>
      <c r="B5" t="s">
        <v>1919</v>
      </c>
      <c r="C5" t="s">
        <v>1920</v>
      </c>
    </row>
    <row r="6" spans="1:1" ht="18.5">
      <c r="A6" s="240"/>
    </row>
    <row r="7" spans="1:3" ht="18.5">
      <c r="A7" s="240"/>
      <c r="B7" t="s">
        <v>1921</v>
      </c>
      <c r="C7" t="s">
        <v>1922</v>
      </c>
    </row>
    <row r="9" spans="3:3">
      <c r="C9" t="s">
        <v>1923</v>
      </c>
    </row>
    <row r="12" spans="4:6" ht="14.5">
      <c r="D12" s="189" t="s">
        <v>1924</v>
      </c>
      <c r="E12" s="189" t="s">
        <v>1925</v>
      </c>
      <c r="F12" s="243" t="s">
        <v>1926</v>
      </c>
    </row>
    <row r="13" spans="1:7" ht="18.5">
      <c r="A13" s="240" t="s">
        <v>1927</v>
      </c>
      <c r="B13" t="s">
        <v>1928</v>
      </c>
      <c r="C13" t="s">
        <v>1929</v>
      </c>
      <c r="E13" s="244"/>
      <c r="G13" s="242">
        <f>'Total summary'!B2</f>
        <v>0</v>
      </c>
    </row>
    <row r="14" spans="3:7">
      <c r="C14" t="s">
        <v>1695</v>
      </c>
      <c r="E14" s="244"/>
      <c r="G14" s="242" t="e">
        <f>'Total summary'!B6</f>
        <v>#REF!</v>
      </c>
    </row>
    <row r="15" spans="3:5">
      <c r="C15" t="s">
        <v>1930</v>
      </c>
      <c r="E15" s="244"/>
    </row>
    <row r="16" spans="3:5">
      <c r="C16" t="s">
        <v>1705</v>
      </c>
      <c r="E16" s="244"/>
    </row>
    <row r="17" spans="3:5">
      <c r="C17" t="s">
        <v>1931</v>
      </c>
      <c r="E17" s="244"/>
    </row>
    <row r="18" spans="3:7">
      <c r="C18" t="s">
        <v>1932</v>
      </c>
      <c r="E18" s="244"/>
      <c r="G18" s="244">
        <f>'Total summary'!B4</f>
        <v>500</v>
      </c>
    </row>
    <row r="19" spans="3:5">
      <c r="C19" t="s">
        <v>1933</v>
      </c>
      <c r="E19" s="244"/>
    </row>
    <row r="20" spans="3:5">
      <c r="C20" t="s">
        <v>1933</v>
      </c>
      <c r="E20" s="244"/>
    </row>
    <row r="22" spans="2:3" ht="14.5">
      <c r="B22" t="s">
        <v>1934</v>
      </c>
      <c r="C22" t="s">
        <v>1966</v>
      </c>
    </row>
    <row r="30" spans="1:8" ht="18.5">
      <c r="A30" s="240" t="s">
        <v>1935</v>
      </c>
      <c r="C30" s="245" t="s">
        <v>1936</v>
      </c>
      <c r="D30" s="245" t="s">
        <v>1937</v>
      </c>
      <c r="E30" s="245" t="s">
        <v>1938</v>
      </c>
      <c r="F30" s="246" t="s">
        <v>1939</v>
      </c>
      <c r="G30" s="247" t="s">
        <v>1940</v>
      </c>
      <c r="H30" s="245"/>
    </row>
    <row r="31" spans="1:12" ht="29">
      <c r="A31" s="248"/>
      <c r="B31" s="248" t="s">
        <v>1941</v>
      </c>
      <c r="C31" s="245" t="s">
        <v>1942</v>
      </c>
      <c r="D31" s="245" t="s">
        <v>1943</v>
      </c>
      <c r="E31" s="245" t="s">
        <v>1944</v>
      </c>
      <c r="F31" s="245" t="s">
        <v>1945</v>
      </c>
      <c r="G31" s="247" t="s">
        <v>1946</v>
      </c>
      <c r="H31" s="245" t="s">
        <v>50</v>
      </c>
      <c r="I31" s="266" t="s">
        <v>1975</v>
      </c>
      <c r="J31" s="266" t="s">
        <v>1976</v>
      </c>
      <c r="K31" s="267" t="s">
        <v>1977</v>
      </c>
      <c r="L31" s="267" t="s">
        <v>1978</v>
      </c>
    </row>
    <row r="32" spans="1:12" ht="14.5">
      <c r="A32" s="248" t="s">
        <v>1947</v>
      </c>
      <c r="B32" s="249"/>
      <c r="C32" s="250"/>
      <c r="D32" s="250"/>
      <c r="E32" s="250"/>
      <c r="F32" s="250"/>
      <c r="G32" s="251"/>
      <c r="H32" s="250">
        <f>SUM(C32:G32)</f>
        <v>0</v>
      </c>
      <c r="I32" s="268">
        <f>H32</f>
        <v>0</v>
      </c>
      <c r="J32" s="268"/>
      <c r="K32" s="269"/>
      <c r="L32" s="249"/>
    </row>
    <row r="33" spans="1:12" ht="14.5">
      <c r="A33" s="248" t="s">
        <v>1947</v>
      </c>
      <c r="B33" s="249"/>
      <c r="C33" s="250"/>
      <c r="D33" s="250"/>
      <c r="E33" s="250"/>
      <c r="F33" s="250"/>
      <c r="G33" s="251"/>
      <c r="H33" s="250">
        <f>SUM(C33:G33)</f>
        <v>0</v>
      </c>
      <c r="I33" s="268">
        <f>H33</f>
        <v>0</v>
      </c>
      <c r="J33" s="268"/>
      <c r="K33" s="269"/>
      <c r="L33" s="249"/>
    </row>
    <row r="34" spans="1:12" ht="14.5">
      <c r="A34" s="248" t="s">
        <v>1947</v>
      </c>
      <c r="B34" s="249"/>
      <c r="C34" s="250"/>
      <c r="D34" s="250"/>
      <c r="E34" s="250"/>
      <c r="F34" s="250"/>
      <c r="G34" s="251"/>
      <c r="H34" s="250">
        <f>SUM(C34:G34)</f>
        <v>0</v>
      </c>
      <c r="I34" s="268">
        <f>H34</f>
        <v>0</v>
      </c>
      <c r="J34" s="268"/>
      <c r="K34" s="269"/>
      <c r="L34" s="249"/>
    </row>
    <row r="35" spans="1:12" ht="14.5">
      <c r="A35" s="248" t="s">
        <v>1927</v>
      </c>
      <c r="B35" s="249"/>
      <c r="C35" s="250"/>
      <c r="D35" s="250"/>
      <c r="E35" s="250"/>
      <c r="F35" s="250"/>
      <c r="G35" s="251"/>
      <c r="H35" s="250">
        <f>SUM(C35:G35)</f>
        <v>0</v>
      </c>
      <c r="I35" s="268">
        <f>H35</f>
        <v>0</v>
      </c>
      <c r="J35" s="268"/>
      <c r="K35" s="269"/>
      <c r="L35" s="249"/>
    </row>
    <row r="36" spans="1:12" ht="14.5">
      <c r="A36" s="248" t="s">
        <v>1927</v>
      </c>
      <c r="B36" s="249"/>
      <c r="C36" s="250"/>
      <c r="D36" s="250"/>
      <c r="E36" s="250"/>
      <c r="F36" s="250"/>
      <c r="G36" s="251"/>
      <c r="H36" s="250">
        <f>SUM(C36:G36)</f>
        <v>0</v>
      </c>
      <c r="I36" s="268">
        <f>H36</f>
        <v>0</v>
      </c>
      <c r="J36" s="268"/>
      <c r="K36" s="269"/>
      <c r="L36" s="249"/>
    </row>
    <row r="37" spans="1:12" ht="14.5">
      <c r="A37" s="248" t="s">
        <v>1927</v>
      </c>
      <c r="B37" s="249"/>
      <c r="C37" s="250"/>
      <c r="D37" s="250"/>
      <c r="E37" s="250"/>
      <c r="F37" s="250"/>
      <c r="G37" s="251"/>
      <c r="H37" s="250">
        <f>SUM(C37:G37)</f>
        <v>0</v>
      </c>
      <c r="I37" s="268">
        <f>H37</f>
        <v>0</v>
      </c>
      <c r="J37" s="268"/>
      <c r="K37" s="269"/>
      <c r="L37" s="249"/>
    </row>
    <row r="38" spans="1:12" ht="14.5">
      <c r="A38" s="248" t="s">
        <v>1927</v>
      </c>
      <c r="B38" s="249"/>
      <c r="C38" s="250"/>
      <c r="D38" s="250"/>
      <c r="E38" s="250"/>
      <c r="F38" s="250"/>
      <c r="G38" s="251"/>
      <c r="H38" s="250">
        <f>SUM(C38:G38)</f>
        <v>0</v>
      </c>
      <c r="I38" s="268">
        <f>H38</f>
        <v>0</v>
      </c>
      <c r="J38" s="268"/>
      <c r="K38" s="269"/>
      <c r="L38" s="249"/>
    </row>
    <row r="39" spans="1:12" ht="14.5">
      <c r="A39" s="248" t="s">
        <v>1927</v>
      </c>
      <c r="B39" s="249"/>
      <c r="C39" s="250"/>
      <c r="D39" s="250"/>
      <c r="E39" s="250"/>
      <c r="F39" s="250"/>
      <c r="G39" s="251"/>
      <c r="H39" s="250">
        <f>SUM(C39:G39)</f>
        <v>0</v>
      </c>
      <c r="I39" s="268">
        <f>H39</f>
        <v>0</v>
      </c>
      <c r="J39" s="268"/>
      <c r="K39" s="269"/>
      <c r="L39" s="249"/>
    </row>
    <row r="40" spans="1:12" ht="14.5">
      <c r="A40" s="248" t="s">
        <v>1927</v>
      </c>
      <c r="B40" s="249"/>
      <c r="C40" s="250"/>
      <c r="D40" s="250"/>
      <c r="E40" s="250"/>
      <c r="F40" s="250"/>
      <c r="G40" s="251"/>
      <c r="H40" s="250">
        <f>SUM(C40:G40)</f>
        <v>0</v>
      </c>
      <c r="I40" s="268">
        <f>H40</f>
        <v>0</v>
      </c>
      <c r="J40" s="268"/>
      <c r="K40" s="269"/>
      <c r="L40" s="249"/>
    </row>
    <row r="41" spans="1:12" ht="14.5">
      <c r="A41" s="248" t="s">
        <v>1927</v>
      </c>
      <c r="B41" s="249"/>
      <c r="C41" s="250"/>
      <c r="D41" s="250"/>
      <c r="E41" s="250"/>
      <c r="F41" s="250"/>
      <c r="G41" s="251"/>
      <c r="H41" s="250">
        <f>SUM(C41:G41)</f>
        <v>0</v>
      </c>
      <c r="I41" s="268">
        <f>H41</f>
        <v>0</v>
      </c>
      <c r="J41" s="268"/>
      <c r="K41" s="269"/>
      <c r="L41" s="249"/>
    </row>
    <row r="42" spans="1:12" ht="14.5">
      <c r="A42" s="248" t="s">
        <v>1927</v>
      </c>
      <c r="B42" s="249"/>
      <c r="C42" s="250"/>
      <c r="D42" s="250"/>
      <c r="E42" s="250"/>
      <c r="F42" s="250"/>
      <c r="G42" s="251"/>
      <c r="H42" s="250">
        <f>SUM(C42:G42)</f>
        <v>0</v>
      </c>
      <c r="I42" s="268">
        <f>H42</f>
        <v>0</v>
      </c>
      <c r="J42" s="268"/>
      <c r="K42" s="269"/>
      <c r="L42" s="249"/>
    </row>
  </sheetData>
  <pageMargins left="0.7" right="0.7" top="0.75" bottom="0.75" header="0.3" footer="0.3"/>
  <pageSetup paperSize="9" orientation="portrait"/>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9">
    <tabColor rgb="FFFFFF00"/>
  </sheetPr>
  <dimension ref="A1:H19"/>
  <sheetViews>
    <sheetView view="normal" workbookViewId="0">
      <selection pane="topLeft" activeCell="B21" sqref="B21"/>
    </sheetView>
  </sheetViews>
  <sheetFormatPr defaultColWidth="51.453125" defaultRowHeight="12.5"/>
  <cols>
    <col min="1" max="1" width="49.7109375" customWidth="1"/>
    <col min="2" max="2" width="36" customWidth="1"/>
    <col min="3" max="3" width="11.5703125" customWidth="1"/>
    <col min="4" max="65" width="8.5703125" customWidth="1"/>
  </cols>
  <sheetData>
    <row r="1" spans="4:7">
      <c r="D1" s="239"/>
      <c r="E1" s="239"/>
      <c r="F1" s="239"/>
      <c r="G1" s="239"/>
    </row>
    <row r="2" spans="1:8" ht="14.5">
      <c r="A2" s="32" t="s">
        <v>1853</v>
      </c>
      <c r="B2" s="34">
        <f>'Per patient Arm 2'!AV47*'Study Information &amp; rates'!B28+'Per patient Arm 1'!AU46*'Study Information &amp; rates'!B27+'Per patient Arm 3'!AV47*'Study Information &amp; rates'!B29+'Per patient Arm 4'!AV47*'Study Information &amp; rates'!B30+'Per patient Arm 5'!AV47*'Study Information &amp; rates'!B31</f>
        <v>0</v>
      </c>
      <c r="C2" s="239"/>
      <c r="D2" s="239"/>
      <c r="E2" s="239"/>
      <c r="F2" s="239"/>
      <c r="G2" s="239"/>
      <c r="H2"/>
    </row>
    <row r="3" spans="1:7" customFormat="1" ht="14.5">
      <c r="A3" s="32" t="s">
        <v>2076</v>
      </c>
      <c r="B3" s="34">
        <f>Radiology!K43+Radiology!K30+Radiology!K17</f>
        <v>0</v>
      </c>
      <c r="C3" s="239"/>
      <c r="D3" s="239"/>
      <c r="E3" s="239"/>
      <c r="F3" s="239"/>
      <c r="G3" s="239"/>
    </row>
    <row r="4" spans="1:7" ht="14.5">
      <c r="A4" s="31" t="s">
        <v>2075</v>
      </c>
      <c r="B4" s="34">
        <f>Pathology!J31+Pathology!J17</f>
        <v>0</v>
      </c>
      <c r="D4" s="239"/>
      <c r="E4" s="252"/>
      <c r="F4" s="239"/>
      <c r="G4" s="239"/>
    </row>
    <row r="5" spans="1:7" ht="14.5">
      <c r="A5" s="33" t="s">
        <v>36</v>
      </c>
      <c r="B5" s="254">
        <f>'Additional Study Activities'!N27</f>
        <v>0</v>
      </c>
      <c r="D5" s="239"/>
      <c r="E5" s="239"/>
      <c r="F5" s="239"/>
      <c r="G5" s="239"/>
    </row>
    <row r="6" spans="1:7" ht="14.5">
      <c r="A6" s="33" t="s">
        <v>37</v>
      </c>
      <c r="B6" s="255">
        <f>'Set-up and other costs'!C10</f>
        <v>500</v>
      </c>
      <c r="D6" s="239"/>
      <c r="E6" s="239"/>
      <c r="F6" s="239"/>
      <c r="G6" s="239"/>
    </row>
    <row r="7" spans="1:7" ht="14.5">
      <c r="A7" s="33" t="s">
        <v>38</v>
      </c>
      <c r="B7" s="255">
        <f>'Additional Study Activities'!N63+'Additional Study Activities'!N46+'Additional Study Activities'!N27</f>
        <v>0</v>
      </c>
      <c r="D7" s="239"/>
      <c r="E7" s="239"/>
      <c r="F7" s="239"/>
      <c r="G7" s="239"/>
    </row>
    <row r="8" spans="1:7" ht="14.5">
      <c r="A8" s="33" t="s">
        <v>51</v>
      </c>
      <c r="B8" s="254">
        <f>Pharmacy!J44+Pharmacy!J27+Pharmacy!J17</f>
        <v>0</v>
      </c>
      <c r="D8" s="239"/>
      <c r="E8" s="239"/>
      <c r="F8" s="239"/>
      <c r="G8" s="239"/>
    </row>
    <row r="9" spans="1:7">
      <c r="A9" s="14"/>
      <c r="B9" s="256"/>
      <c r="D9" s="239"/>
      <c r="E9" s="239"/>
      <c r="F9" s="239"/>
      <c r="G9" s="239"/>
    </row>
    <row r="10" spans="1:7" ht="14.5">
      <c r="A10" s="52" t="s">
        <v>62</v>
      </c>
      <c r="B10" s="257">
        <f>SUM(B2:B8)</f>
        <v>500</v>
      </c>
      <c r="D10" s="239"/>
      <c r="E10" s="239"/>
      <c r="F10" s="239"/>
      <c r="G10" s="239"/>
    </row>
    <row r="11" spans="1:7" ht="14.5">
      <c r="A11" s="52" t="s">
        <v>64</v>
      </c>
      <c r="B11" s="258">
        <v>0</v>
      </c>
      <c r="D11" s="239"/>
      <c r="E11" s="239"/>
      <c r="F11" s="239"/>
      <c r="G11" s="239"/>
    </row>
    <row r="12" spans="1:2" ht="14.5">
      <c r="A12" s="52" t="s">
        <v>63</v>
      </c>
      <c r="B12" s="259">
        <f>B10+B11</f>
        <v>500</v>
      </c>
    </row>
    <row r="13" spans="1:2">
      <c r="A13" s="14"/>
      <c r="B13" s="260"/>
    </row>
    <row r="14" spans="1:2">
      <c r="A14" s="14"/>
      <c r="B14" s="30"/>
    </row>
    <row r="15" spans="1:2">
      <c r="A15" s="14"/>
      <c r="B15" s="30"/>
    </row>
    <row r="16" spans="1:2">
      <c r="A16" s="14"/>
      <c r="B16" s="56"/>
    </row>
    <row r="17" spans="1:2">
      <c r="A17" s="14"/>
      <c r="B17" s="56"/>
    </row>
    <row r="18" spans="1:2">
      <c r="A18" s="14"/>
      <c r="B18" s="56"/>
    </row>
    <row r="19" spans="1:2">
      <c r="A19" s="14"/>
      <c r="B19" s="56"/>
    </row>
  </sheetData>
  <pageMargins left="0.7" right="0.7" top="0.75" bottom="0.75" header="0.3" footer="0.3"/>
  <pageSetup paperSize="9"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32"/>
  <dimension ref="A1:E40"/>
  <sheetViews>
    <sheetView view="normal" workbookViewId="0">
      <selection pane="topLeft" activeCell="A39" sqref="A39"/>
    </sheetView>
  </sheetViews>
  <sheetFormatPr defaultColWidth="87.453125" defaultRowHeight="12.5"/>
  <cols>
    <col min="1" max="1" width="44.7109375" customWidth="1"/>
    <col min="3" max="3" width="10" customWidth="1"/>
    <col min="4" max="4" width="9.140625" customWidth="1"/>
    <col min="5" max="5" width="9.5703125" customWidth="1"/>
  </cols>
  <sheetData>
    <row r="1" spans="1:5" s="14" customFormat="1" ht="14">
      <c r="A1" s="179"/>
      <c r="C1" s="180"/>
      <c r="D1" s="180"/>
      <c r="E1" s="180"/>
    </row>
    <row r="2" spans="1:2">
      <c r="A2"/>
      <c r="B2"/>
    </row>
    <row r="3" spans="1:2">
      <c r="A3"/>
      <c r="B3"/>
    </row>
    <row r="4" spans="1:2" ht="14.5">
      <c r="A4" s="189" t="s">
        <v>1855</v>
      </c>
      <c r="B4"/>
    </row>
    <row r="5" spans="1:2">
      <c r="A5" t="s">
        <v>2074</v>
      </c>
      <c r="B5"/>
    </row>
    <row r="6" spans="1:2">
      <c r="A6" t="s">
        <v>2013</v>
      </c>
      <c r="B6"/>
    </row>
    <row r="7" spans="1:2">
      <c r="A7" t="s">
        <v>2014</v>
      </c>
      <c r="B7"/>
    </row>
    <row r="8" spans="1:1" customFormat="1">
      <c r="A8" t="s">
        <v>2026</v>
      </c>
    </row>
    <row r="9" spans="1:2">
      <c r="A9" t="s">
        <v>1858</v>
      </c>
      <c r="B9"/>
    </row>
    <row r="10" spans="1:2">
      <c r="A10"/>
      <c r="B10"/>
    </row>
    <row r="11" spans="1:2" ht="14.5">
      <c r="A11" s="284" t="s">
        <v>1695</v>
      </c>
      <c r="B11"/>
    </row>
    <row r="12" spans="1:2" ht="14.5">
      <c r="A12" s="284" t="s">
        <v>2010</v>
      </c>
      <c r="B12"/>
    </row>
    <row r="13" spans="1:2" ht="14.5">
      <c r="A13" s="284" t="s">
        <v>2140</v>
      </c>
      <c r="B13"/>
    </row>
    <row r="14" spans="1:2" ht="14.5">
      <c r="A14" s="284" t="s">
        <v>2141</v>
      </c>
      <c r="B14"/>
    </row>
    <row r="15" spans="1:2">
      <c r="A15"/>
      <c r="B15"/>
    </row>
    <row r="16" spans="1:2">
      <c r="A16" s="233" t="s">
        <v>1930</v>
      </c>
      <c r="B16"/>
    </row>
    <row r="17" spans="1:2">
      <c r="A17" s="233" t="s">
        <v>1705</v>
      </c>
      <c r="B17"/>
    </row>
    <row r="18" spans="1:2">
      <c r="A18" s="233" t="s">
        <v>2008</v>
      </c>
      <c r="B18"/>
    </row>
    <row r="19" spans="1:1" customFormat="1">
      <c r="A19" s="233" t="s">
        <v>1931</v>
      </c>
    </row>
    <row r="20" spans="1:2">
      <c r="A20" s="233" t="s">
        <v>2009</v>
      </c>
      <c r="B20"/>
    </row>
    <row r="21" spans="1:2">
      <c r="A21"/>
      <c r="B21"/>
    </row>
    <row r="22" spans="1:2">
      <c r="A22" s="285" t="s">
        <v>2015</v>
      </c>
      <c r="B22" t="s">
        <v>2016</v>
      </c>
    </row>
    <row r="23" spans="1:2">
      <c r="A23" s="285" t="s">
        <v>2017</v>
      </c>
      <c r="B23" t="s">
        <v>2157</v>
      </c>
    </row>
    <row r="24" spans="1:2" customFormat="1">
      <c r="A24" s="285" t="s">
        <v>2155</v>
      </c>
      <c r="B24" t="s">
        <v>2018</v>
      </c>
    </row>
    <row r="25" spans="1:2" customFormat="1">
      <c r="A25" s="285" t="s">
        <v>2156</v>
      </c>
      <c r="B25" t="s">
        <v>2018</v>
      </c>
    </row>
    <row r="26" spans="1:2">
      <c r="A26" s="285" t="s">
        <v>2154</v>
      </c>
      <c r="B26" t="s">
        <v>2018</v>
      </c>
    </row>
    <row r="27" spans="1:2">
      <c r="A27" s="285" t="s">
        <v>2019</v>
      </c>
      <c r="B27" t="s">
        <v>2020</v>
      </c>
    </row>
    <row r="28" spans="1:2">
      <c r="A28"/>
      <c r="B28"/>
    </row>
    <row r="29" spans="1:2">
      <c r="A29" s="285" t="s">
        <v>1931</v>
      </c>
      <c r="B29"/>
    </row>
    <row r="30" spans="1:2">
      <c r="A30" s="285" t="s">
        <v>2008</v>
      </c>
      <c r="B30"/>
    </row>
    <row r="31" spans="1:2">
      <c r="A31" s="285" t="s">
        <v>2152</v>
      </c>
      <c r="B31"/>
    </row>
    <row r="32" spans="1:2">
      <c r="A32"/>
      <c r="B32"/>
    </row>
    <row r="33" spans="1:2">
      <c r="A33" s="285" t="s">
        <v>1912</v>
      </c>
      <c r="B33" s="250">
        <f>(SUMIF('Per patient Arm 2'!$B$9:$B$47,"Research Cost A",'Per patient Arm 2'!$BW$9:$BW$47))*'Study Information &amp; rates'!$B$27+(SUMIF('Per patient Arm 1'!$B$8:$B$46,"Research Cost A",'Per patient Arm 1'!$BW$8:$BW$46))*'Study Information &amp; rates'!$B$28+(SUMIF('Per patient Arm 3'!$B$9:$B$47,"Research Cost A",'Per patient Arm 3'!$BW$9:$BW$47))*'Study Information &amp; rates'!$B$29+(SUMIF('Per patient Arm 4'!$B$9:$B$47,"Research Cost A",'Per patient Arm 4'!$BW$9:$BW$47))*'Study Information &amp; rates'!$B$30+(SUMIF('Per patient Arm 5'!$B$9:$B$47,"Research Cost A",'Per patient Arm 5'!$BW$9:$BW$47))*'Study Information &amp; rates'!$B$31</f>
        <v>0</v>
      </c>
    </row>
    <row r="34" spans="1:2">
      <c r="A34" s="285" t="s">
        <v>1913</v>
      </c>
      <c r="B34"/>
    </row>
    <row r="35" spans="1:2">
      <c r="A35"/>
      <c r="B35"/>
    </row>
    <row r="36" spans="1:2">
      <c r="A36" s="285" t="s">
        <v>2167</v>
      </c>
      <c r="B36"/>
    </row>
    <row r="37" spans="1:2">
      <c r="A37" s="285" t="s">
        <v>2166</v>
      </c>
      <c r="B37"/>
    </row>
    <row r="38" spans="1:2">
      <c r="A38" s="285" t="s">
        <v>2164</v>
      </c>
      <c r="B38"/>
    </row>
    <row r="39" spans="1:2">
      <c r="A39" s="285" t="s">
        <v>2165</v>
      </c>
      <c r="B39"/>
    </row>
    <row r="40" spans="1:1">
      <c r="A40" s="285" t="s">
        <v>2163</v>
      </c>
    </row>
  </sheetData>
  <pageMargins left="0.7" right="0.7" top="0.75" bottom="0.75" header="0.3" footer="0.3"/>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I133"/>
  <sheetViews>
    <sheetView topLeftCell="A18" zoomScale="60" view="normal" workbookViewId="0">
      <selection pane="topLeft" activeCell="E7" sqref="E7"/>
    </sheetView>
  </sheetViews>
  <sheetFormatPr defaultColWidth="9" defaultRowHeight="12.5"/>
  <cols>
    <col min="1" max="1" width="60.5703125" style="352" customWidth="1"/>
    <col min="2" max="2" width="22.7109375" style="352" customWidth="1"/>
    <col min="3" max="3" width="30" style="352" customWidth="1"/>
    <col min="4" max="4" width="27.7109375" style="352" customWidth="1"/>
    <col min="5" max="5" width="17.41796875" style="352" customWidth="1"/>
    <col min="6" max="6" width="19.41796875" style="352" customWidth="1"/>
    <col min="7" max="7" width="27.7109375" style="352" customWidth="1"/>
    <col min="8" max="8" width="37.140625" style="352" customWidth="1"/>
    <col min="9" max="9" width="27.7109375" style="352" customWidth="1"/>
    <col min="10" max="10" width="13.27734375" style="352" hidden="1" customWidth="1"/>
    <col min="11" max="11" width="24.7109375" style="352" hidden="1" customWidth="1"/>
    <col min="12" max="12" width="23.140625" style="352" hidden="1" customWidth="1"/>
    <col min="13" max="13" width="9" style="352" hidden="1" customWidth="1"/>
    <col min="14" max="14" width="23.5703125" style="352" hidden="1" customWidth="1"/>
    <col min="15" max="15" width="22.27734375" style="352" hidden="1" customWidth="1"/>
    <col min="16" max="17" width="9" style="352" hidden="1" customWidth="1"/>
    <col min="18" max="18" width="20" style="352" hidden="1" customWidth="1"/>
    <col min="19" max="20" width="21.41796875" style="352" hidden="1" customWidth="1"/>
    <col min="21" max="22" width="9" style="352" hidden="1" customWidth="1"/>
    <col min="23" max="23" width="42.84765625" style="352" hidden="1" customWidth="1"/>
    <col min="24" max="25" width="38.5703125" style="352" hidden="1" customWidth="1"/>
    <col min="26" max="26" width="38.84765625" style="352" hidden="1" customWidth="1"/>
    <col min="27" max="29" width="9" style="352" hidden="1" customWidth="1"/>
    <col min="30" max="16384" width="9" style="352" customWidth="1"/>
  </cols>
  <sheetData>
    <row r="1" spans="1:32" ht="13" thickBot="1">
      <c r="A1" s="833"/>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row>
    <row r="2" spans="1:32" ht="20.5" thickBot="1">
      <c r="A2" s="834" t="s">
        <v>2280</v>
      </c>
      <c r="B2" s="1043">
        <f>C13</f>
        <v>500</v>
      </c>
      <c r="C2" s="1044"/>
      <c r="D2" s="833"/>
      <c r="E2" s="1017" t="s">
        <v>2479</v>
      </c>
      <c r="F2" s="1015"/>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row>
    <row r="3" spans="1:32" ht="16" thickBot="1">
      <c r="A3" s="835"/>
      <c r="B3" s="836"/>
      <c r="C3" s="836"/>
      <c r="D3" s="833"/>
      <c r="E3" s="1017" t="s">
        <v>2480</v>
      </c>
      <c r="F3" s="1016"/>
      <c r="G3" s="833"/>
      <c r="H3" s="833"/>
      <c r="I3" s="833"/>
      <c r="J3" s="833"/>
      <c r="K3" s="833"/>
      <c r="L3" s="833"/>
      <c r="M3" s="833"/>
      <c r="N3" s="833"/>
      <c r="O3" s="833"/>
      <c r="P3" s="833"/>
      <c r="Q3" s="833"/>
      <c r="R3" s="833"/>
      <c r="S3" s="833"/>
      <c r="T3" s="833"/>
      <c r="U3" s="833"/>
      <c r="V3" s="833"/>
      <c r="W3" s="833"/>
      <c r="X3" s="833"/>
      <c r="Y3" s="833"/>
      <c r="Z3" s="833"/>
      <c r="AA3" s="833"/>
      <c r="AB3" s="833"/>
      <c r="AC3" s="833"/>
      <c r="AD3" s="833"/>
      <c r="AE3" s="833"/>
      <c r="AF3" s="833"/>
    </row>
    <row r="4" spans="1:32" ht="19.5" customHeight="1">
      <c r="A4" s="837" t="s">
        <v>2266</v>
      </c>
      <c r="B4" s="838" t="s">
        <v>2432</v>
      </c>
      <c r="C4" s="838" t="s">
        <v>2433</v>
      </c>
      <c r="D4" s="836"/>
      <c r="E4" s="839"/>
      <c r="F4" s="840"/>
      <c r="G4" s="841" t="s">
        <v>2268</v>
      </c>
      <c r="H4" s="842" t="s">
        <v>81</v>
      </c>
      <c r="I4" s="843">
        <f>IF('Study Information &amp; rates'!B19="No",SUM('UHS Individual cost'!K3:L9),SUM('UHS Individual cost'!K3:K9))</f>
        <v>0</v>
      </c>
      <c r="J4" s="833"/>
      <c r="K4" s="833"/>
      <c r="L4" s="833"/>
      <c r="M4" s="833"/>
      <c r="N4" s="833"/>
      <c r="O4" s="833"/>
      <c r="P4" s="833"/>
      <c r="Q4" s="833"/>
      <c r="R4" s="833"/>
      <c r="S4" s="833"/>
      <c r="T4" s="833"/>
      <c r="U4" s="833"/>
      <c r="V4" s="833"/>
      <c r="W4" s="833"/>
      <c r="X4" s="833"/>
      <c r="Y4" s="833"/>
      <c r="Z4" s="833"/>
      <c r="AA4" s="833"/>
      <c r="AB4" s="833"/>
      <c r="AC4" s="833"/>
      <c r="AD4" s="833"/>
      <c r="AE4" s="833"/>
      <c r="AF4" s="833"/>
    </row>
    <row r="5" spans="1:32" ht="19.5" customHeight="1">
      <c r="A5" s="844" t="s">
        <v>2058</v>
      </c>
      <c r="B5" s="845">
        <f>B16</f>
        <v>0</v>
      </c>
      <c r="C5" s="845">
        <f>B16</f>
        <v>0</v>
      </c>
      <c r="D5" s="846"/>
      <c r="E5" s="839"/>
      <c r="F5" s="840"/>
      <c r="G5" s="847"/>
      <c r="H5" s="848"/>
      <c r="I5" s="849"/>
      <c r="J5" s="833"/>
      <c r="K5" s="833"/>
      <c r="L5" s="833"/>
      <c r="M5" s="833"/>
      <c r="N5" s="833"/>
      <c r="O5" s="833"/>
      <c r="P5" s="833"/>
      <c r="Q5" s="833"/>
      <c r="R5" s="833"/>
      <c r="S5" s="833"/>
      <c r="T5" s="833"/>
      <c r="U5" s="833"/>
      <c r="V5" s="833"/>
      <c r="W5" s="833"/>
      <c r="X5" s="833"/>
      <c r="Y5" s="833"/>
      <c r="Z5" s="833"/>
      <c r="AA5" s="833"/>
      <c r="AB5" s="833"/>
      <c r="AC5" s="833"/>
      <c r="AD5" s="833"/>
      <c r="AE5" s="833"/>
      <c r="AF5" s="833"/>
    </row>
    <row r="6" spans="1:32" ht="19.5" customHeight="1">
      <c r="A6" s="850" t="s">
        <v>2317</v>
      </c>
      <c r="B6" s="851">
        <f>I44</f>
        <v>500</v>
      </c>
      <c r="C6" s="852"/>
      <c r="D6" s="853"/>
      <c r="E6" s="840"/>
      <c r="F6" s="840"/>
      <c r="G6" s="841" t="s">
        <v>2267</v>
      </c>
      <c r="H6" s="842" t="s">
        <v>81</v>
      </c>
      <c r="I6" s="854">
        <f>IF('Study Information &amp; rates'!B19="No",SUM(E20:F24,'UHS Individual cost'!K13:L18,'UHS Individual cost'!K22:L26),SUM('Total Summary and Budget'!E20:E24,'UHS Individual cost'!K13:K18,'UHS Individual cost'!K22:K26))</f>
        <v>0</v>
      </c>
      <c r="J6" s="833"/>
      <c r="K6" s="833"/>
      <c r="L6" s="833"/>
      <c r="M6" s="833"/>
      <c r="N6" s="833"/>
      <c r="O6" s="833"/>
      <c r="P6" s="833"/>
      <c r="Q6" s="833"/>
      <c r="R6" s="833"/>
      <c r="S6" s="833"/>
      <c r="T6" s="833"/>
      <c r="U6" s="833"/>
      <c r="V6" s="833"/>
      <c r="W6" s="833"/>
      <c r="X6" s="833"/>
      <c r="Y6" s="833"/>
      <c r="Z6" s="833"/>
      <c r="AA6" s="833"/>
      <c r="AB6" s="833"/>
      <c r="AC6" s="833"/>
      <c r="AD6" s="833"/>
      <c r="AE6" s="833"/>
      <c r="AF6" s="833"/>
    </row>
    <row r="7" spans="1:32" ht="19.5" customHeight="1">
      <c r="A7" s="844" t="s">
        <v>2318</v>
      </c>
      <c r="B7" s="845">
        <f>D44</f>
        <v>0</v>
      </c>
      <c r="C7" s="845"/>
      <c r="D7" s="855" t="s">
        <v>2041</v>
      </c>
      <c r="E7" s="833"/>
      <c r="F7" s="840"/>
      <c r="G7" s="856"/>
      <c r="H7" s="833"/>
      <c r="I7" s="857"/>
      <c r="J7" s="833"/>
      <c r="K7" s="833"/>
      <c r="L7" s="833"/>
      <c r="M7" s="833"/>
      <c r="N7" s="833"/>
      <c r="O7" s="833"/>
      <c r="P7" s="833"/>
      <c r="Q7" s="833"/>
      <c r="R7" s="833"/>
      <c r="S7" s="833"/>
      <c r="T7" s="833"/>
      <c r="U7" s="833"/>
      <c r="V7" s="833"/>
      <c r="W7" s="833"/>
      <c r="X7" s="833"/>
      <c r="Y7" s="833"/>
      <c r="Z7" s="833"/>
      <c r="AA7" s="833"/>
      <c r="AB7" s="833"/>
      <c r="AC7" s="833"/>
      <c r="AD7" s="833"/>
      <c r="AE7" s="833"/>
      <c r="AF7" s="833"/>
    </row>
    <row r="8" spans="1:32" ht="19.5" customHeight="1">
      <c r="A8" s="858" t="s">
        <v>2319</v>
      </c>
      <c r="B8" s="845">
        <f>E44</f>
        <v>500</v>
      </c>
      <c r="C8" s="845">
        <f>E44+C38</f>
        <v>500</v>
      </c>
      <c r="D8" s="855"/>
      <c r="E8" s="833"/>
      <c r="F8" s="833"/>
      <c r="G8" s="856"/>
      <c r="H8" s="842" t="s">
        <v>2271</v>
      </c>
      <c r="I8" s="857">
        <f>IF('Study Information &amp; rates'!B19="No",SUM(E25:F33,E36:F36,E39:F40,E35),SUM('Total Summary and Budget'!E25:E33,E36,E39:E40,E35))</f>
        <v>500</v>
      </c>
      <c r="J8" s="833"/>
      <c r="K8" s="833"/>
      <c r="L8" s="833"/>
      <c r="M8" s="833"/>
      <c r="N8" s="833"/>
      <c r="O8" s="833"/>
      <c r="P8" s="833"/>
      <c r="Q8" s="833"/>
      <c r="R8" s="833"/>
      <c r="S8" s="833"/>
      <c r="T8" s="833"/>
      <c r="U8" s="833"/>
      <c r="V8" s="833"/>
      <c r="W8" s="833"/>
      <c r="X8" s="833"/>
      <c r="Y8" s="833"/>
      <c r="Z8" s="833"/>
      <c r="AA8" s="833"/>
      <c r="AB8" s="833"/>
      <c r="AC8" s="833"/>
      <c r="AD8" s="833"/>
      <c r="AE8" s="833"/>
      <c r="AF8" s="833"/>
    </row>
    <row r="9" spans="1:32" ht="19.5" customHeight="1">
      <c r="A9" s="858" t="s">
        <v>2320</v>
      </c>
      <c r="B9" s="845">
        <f>F44</f>
        <v>0</v>
      </c>
      <c r="C9" s="845">
        <f>IF(B116="Yes",0,F44)</f>
        <v>0</v>
      </c>
      <c r="D9" s="855" t="s">
        <v>2040</v>
      </c>
      <c r="E9" s="833"/>
      <c r="F9" s="840"/>
      <c r="G9" s="859"/>
      <c r="H9" s="860"/>
      <c r="I9" s="849"/>
      <c r="J9" s="833"/>
      <c r="K9" s="833"/>
      <c r="L9" s="833"/>
      <c r="M9" s="833"/>
      <c r="N9" s="833"/>
      <c r="O9" s="833"/>
      <c r="P9" s="833"/>
      <c r="Q9" s="833"/>
      <c r="R9" s="833"/>
      <c r="S9" s="833"/>
      <c r="T9" s="833"/>
      <c r="U9" s="833"/>
      <c r="V9" s="833"/>
      <c r="W9" s="833"/>
      <c r="X9" s="833"/>
      <c r="Y9" s="833"/>
      <c r="Z9" s="833"/>
      <c r="AA9" s="833"/>
      <c r="AB9" s="833"/>
      <c r="AC9" s="833"/>
      <c r="AD9" s="833"/>
      <c r="AE9" s="833"/>
      <c r="AF9" s="833"/>
    </row>
    <row r="10" spans="1:32" ht="19.5" customHeight="1">
      <c r="A10" s="858" t="s">
        <v>2321</v>
      </c>
      <c r="B10" s="845">
        <f>G44</f>
        <v>0</v>
      </c>
      <c r="C10" s="845"/>
      <c r="D10" s="855" t="s">
        <v>2043</v>
      </c>
      <c r="E10" s="833"/>
      <c r="F10" s="840"/>
      <c r="G10" s="859" t="s">
        <v>2272</v>
      </c>
      <c r="H10" s="842" t="s">
        <v>2270</v>
      </c>
      <c r="I10" s="857">
        <f>E34+C38</f>
        <v>0</v>
      </c>
      <c r="J10" s="833"/>
      <c r="K10" s="833"/>
      <c r="L10" s="833"/>
      <c r="M10" s="833"/>
      <c r="N10" s="833"/>
      <c r="O10" s="833"/>
      <c r="P10" s="833"/>
      <c r="Q10" s="833"/>
      <c r="R10" s="833"/>
      <c r="S10" s="833"/>
      <c r="T10" s="833"/>
      <c r="U10" s="833"/>
      <c r="V10" s="833"/>
      <c r="W10" s="833"/>
      <c r="X10" s="833"/>
      <c r="Y10" s="833"/>
      <c r="Z10" s="833"/>
      <c r="AA10" s="833"/>
      <c r="AB10" s="833"/>
      <c r="AC10" s="833"/>
      <c r="AD10" s="833"/>
      <c r="AE10" s="833"/>
      <c r="AF10" s="833"/>
    </row>
    <row r="11" spans="1:32" ht="19.5" customHeight="1">
      <c r="A11" s="858" t="s">
        <v>2322</v>
      </c>
      <c r="B11" s="845">
        <f>H44</f>
        <v>0</v>
      </c>
      <c r="C11" s="845"/>
      <c r="D11" s="1045" t="s">
        <v>2042</v>
      </c>
      <c r="E11" s="1046"/>
      <c r="F11" s="1046"/>
      <c r="G11" s="861"/>
      <c r="H11" s="862"/>
      <c r="I11" s="863"/>
      <c r="J11" s="833"/>
      <c r="K11" s="833"/>
      <c r="L11" s="833"/>
      <c r="M11" s="833"/>
      <c r="N11" s="833"/>
      <c r="O11" s="833"/>
      <c r="P11" s="833"/>
      <c r="Q11" s="833"/>
      <c r="R11" s="833"/>
      <c r="S11" s="833"/>
      <c r="T11" s="833"/>
      <c r="U11" s="833"/>
      <c r="V11" s="833"/>
      <c r="W11" s="833"/>
      <c r="X11" s="833"/>
      <c r="Y11" s="833"/>
      <c r="Z11" s="833"/>
      <c r="AA11" s="833"/>
      <c r="AB11" s="833"/>
      <c r="AC11" s="833"/>
      <c r="AD11" s="833"/>
      <c r="AE11" s="833"/>
      <c r="AF11" s="833"/>
    </row>
    <row r="12" spans="1:32" ht="19.5" customHeight="1" thickBot="1">
      <c r="A12" s="864" t="s">
        <v>2120</v>
      </c>
      <c r="B12" s="865">
        <f>C126+D126</f>
        <v>0</v>
      </c>
      <c r="C12" s="865"/>
      <c r="D12" s="866"/>
      <c r="E12" s="846"/>
      <c r="F12" s="840"/>
      <c r="G12" s="867"/>
      <c r="H12" s="868"/>
      <c r="I12" s="869"/>
      <c r="J12" s="833"/>
      <c r="K12" s="833"/>
      <c r="L12" s="833"/>
      <c r="M12" s="833"/>
      <c r="N12" s="833"/>
      <c r="O12" s="833"/>
      <c r="P12" s="833"/>
      <c r="Q12" s="833"/>
      <c r="R12" s="833"/>
      <c r="S12" s="833"/>
      <c r="T12" s="833"/>
      <c r="U12" s="833"/>
      <c r="V12" s="833"/>
      <c r="W12" s="833"/>
      <c r="X12" s="833"/>
      <c r="Y12" s="833"/>
      <c r="Z12" s="833"/>
      <c r="AA12" s="833"/>
      <c r="AB12" s="833"/>
      <c r="AC12" s="833"/>
      <c r="AD12" s="833"/>
      <c r="AE12" s="833"/>
      <c r="AF12" s="833"/>
    </row>
    <row r="13" spans="1:32" ht="19.5" customHeight="1" thickBot="1">
      <c r="A13" s="870" t="s">
        <v>1997</v>
      </c>
      <c r="B13" s="871">
        <f>B5+B7+B8+B9+B10+B11</f>
        <v>500</v>
      </c>
      <c r="C13" s="872">
        <f>C5+C7+C8+C9+C10+C11</f>
        <v>500</v>
      </c>
      <c r="D13" s="846"/>
      <c r="E13" s="840"/>
      <c r="F13" s="840"/>
      <c r="G13" s="873" t="s">
        <v>2338</v>
      </c>
      <c r="H13" s="874"/>
      <c r="I13" s="875">
        <f>B16+SUM(I4:I10)</f>
        <v>500</v>
      </c>
      <c r="J13" s="833"/>
      <c r="K13" s="833"/>
      <c r="L13" s="833"/>
      <c r="M13" s="833"/>
      <c r="N13" s="833"/>
      <c r="O13" s="833"/>
      <c r="P13" s="833"/>
      <c r="Q13" s="833"/>
      <c r="R13" s="833"/>
      <c r="S13" s="833"/>
      <c r="T13" s="833"/>
      <c r="U13" s="833"/>
      <c r="V13" s="833"/>
      <c r="W13" s="833"/>
      <c r="X13" s="833"/>
      <c r="Y13" s="833"/>
      <c r="Z13" s="833"/>
      <c r="AA13" s="833"/>
      <c r="AB13" s="833"/>
      <c r="AC13" s="833"/>
      <c r="AD13" s="833"/>
      <c r="AE13" s="833"/>
      <c r="AF13" s="833"/>
    </row>
    <row r="14" spans="1:32" ht="19.5" customHeight="1" thickBot="1">
      <c r="A14" s="876"/>
      <c r="B14" s="840"/>
      <c r="C14" s="840"/>
      <c r="D14" s="833"/>
      <c r="E14" s="877"/>
      <c r="F14" s="833"/>
      <c r="G14" s="878" t="s">
        <v>2435</v>
      </c>
      <c r="H14" s="879"/>
      <c r="I14" s="880">
        <f>I43</f>
        <v>0</v>
      </c>
      <c r="J14" s="833"/>
      <c r="K14" s="833"/>
      <c r="L14" s="833"/>
      <c r="M14" s="833"/>
      <c r="N14" s="833"/>
      <c r="O14" s="833"/>
      <c r="P14" s="833"/>
      <c r="Q14" s="833"/>
      <c r="R14" s="833"/>
      <c r="S14" s="833"/>
      <c r="T14" s="833"/>
      <c r="U14" s="833"/>
      <c r="V14" s="833"/>
      <c r="W14" s="833"/>
      <c r="X14" s="833"/>
      <c r="Y14" s="833"/>
      <c r="Z14" s="833"/>
      <c r="AA14" s="833"/>
      <c r="AB14" s="833"/>
      <c r="AC14" s="833"/>
      <c r="AD14" s="833"/>
      <c r="AE14" s="833"/>
      <c r="AF14" s="833"/>
    </row>
    <row r="15" spans="1:32" ht="19.5" customHeight="1" thickBot="1">
      <c r="A15" s="881" t="s">
        <v>2001</v>
      </c>
      <c r="B15" s="833"/>
      <c r="C15" s="833"/>
      <c r="D15" s="833"/>
      <c r="E15" s="882"/>
      <c r="F15" s="833"/>
      <c r="G15" s="883" t="s">
        <v>2340</v>
      </c>
      <c r="H15" s="883"/>
      <c r="I15" s="884">
        <f>I13+I14</f>
        <v>500</v>
      </c>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3"/>
    </row>
    <row r="16" spans="1:32" s="353" customFormat="1" ht="19.5" customHeight="1">
      <c r="A16" s="885" t="s">
        <v>1914</v>
      </c>
      <c r="B16" s="689"/>
      <c r="C16" s="876"/>
      <c r="D16" s="840"/>
      <c r="E16" s="840"/>
      <c r="F16" s="840"/>
      <c r="G16" s="840"/>
      <c r="H16" s="840"/>
      <c r="I16" s="840"/>
      <c r="J16" s="840"/>
      <c r="K16" s="1032" t="s">
        <v>2002</v>
      </c>
      <c r="L16" s="1033"/>
      <c r="M16" s="840"/>
      <c r="N16" s="840"/>
      <c r="O16" s="840"/>
      <c r="P16" s="840"/>
      <c r="Q16" s="840"/>
      <c r="R16" s="840"/>
      <c r="S16" s="840"/>
      <c r="T16" s="840"/>
      <c r="U16" s="840"/>
      <c r="V16" s="840"/>
      <c r="W16" s="840"/>
      <c r="X16" s="840"/>
      <c r="Y16" s="840"/>
      <c r="Z16" s="840"/>
      <c r="AA16" s="840"/>
      <c r="AB16" s="840"/>
      <c r="AC16" s="840"/>
      <c r="AD16" s="840"/>
      <c r="AE16" s="840"/>
      <c r="AF16" s="840"/>
    </row>
    <row r="17" spans="1:32" s="625" customFormat="1" ht="19.5" customHeight="1" thickBot="1">
      <c r="A17" s="886" t="s">
        <v>2003</v>
      </c>
      <c r="B17" s="886" t="s">
        <v>1941</v>
      </c>
      <c r="C17" s="840"/>
      <c r="D17" s="887" t="s">
        <v>2073</v>
      </c>
      <c r="E17" s="887" t="s">
        <v>2011</v>
      </c>
      <c r="F17" s="887" t="s">
        <v>2012</v>
      </c>
      <c r="G17" s="887" t="s">
        <v>2026</v>
      </c>
      <c r="H17" s="887" t="s">
        <v>1858</v>
      </c>
      <c r="I17" s="888" t="s">
        <v>2057</v>
      </c>
      <c r="J17" s="877"/>
      <c r="K17" s="889" t="s">
        <v>2004</v>
      </c>
      <c r="L17" s="889" t="s">
        <v>2005</v>
      </c>
      <c r="M17" s="877"/>
      <c r="N17" s="877"/>
      <c r="O17" s="877"/>
      <c r="P17" s="877"/>
      <c r="Q17" s="877"/>
      <c r="R17" s="877"/>
      <c r="S17" s="877"/>
      <c r="T17" s="877"/>
      <c r="U17" s="877"/>
      <c r="V17" s="890"/>
      <c r="W17" s="890"/>
      <c r="X17" s="890"/>
      <c r="Y17" s="890"/>
      <c r="Z17" s="877"/>
      <c r="AA17" s="877"/>
      <c r="AB17" s="877"/>
      <c r="AC17" s="877"/>
      <c r="AD17" s="877"/>
      <c r="AE17" s="877"/>
      <c r="AF17" s="877"/>
    </row>
    <row r="18" spans="1:32" ht="19.5" customHeight="1" thickBot="1">
      <c r="A18" s="891" t="s">
        <v>1947</v>
      </c>
      <c r="B18" s="848" t="s">
        <v>2044</v>
      </c>
      <c r="C18" s="840"/>
      <c r="D18" s="892"/>
      <c r="E18" s="893"/>
      <c r="F18" s="894"/>
      <c r="G18" s="895"/>
      <c r="H18" s="896"/>
      <c r="I18" s="897"/>
      <c r="J18" s="833"/>
      <c r="K18" s="898"/>
      <c r="L18" s="898"/>
      <c r="M18" s="833"/>
      <c r="N18" s="833"/>
      <c r="O18" s="833"/>
      <c r="P18" s="833"/>
      <c r="Q18" s="833"/>
      <c r="R18" s="833"/>
      <c r="S18" s="833"/>
      <c r="T18" s="833"/>
      <c r="U18" s="833"/>
      <c r="V18" s="833"/>
      <c r="W18" s="833"/>
      <c r="X18" s="833"/>
      <c r="Y18" s="833"/>
      <c r="Z18" s="833"/>
      <c r="AA18" s="833"/>
      <c r="AB18" s="833"/>
      <c r="AC18" s="833"/>
      <c r="AD18" s="833"/>
      <c r="AE18" s="833"/>
      <c r="AF18" s="833"/>
    </row>
    <row r="19" spans="1:32" ht="19.5" customHeight="1" thickBot="1">
      <c r="A19" s="899"/>
      <c r="B19" s="848"/>
      <c r="C19" s="840"/>
      <c r="D19" s="900"/>
      <c r="E19" s="901"/>
      <c r="F19" s="902"/>
      <c r="G19" s="903"/>
      <c r="H19" s="904"/>
      <c r="I19" s="905"/>
      <c r="J19" s="833"/>
      <c r="K19" s="898"/>
      <c r="L19" s="898"/>
      <c r="M19" s="833"/>
      <c r="N19" s="833"/>
      <c r="O19" s="833"/>
      <c r="P19" s="833"/>
      <c r="Q19" s="833"/>
      <c r="R19" s="833"/>
      <c r="S19" s="833"/>
      <c r="T19" s="833"/>
      <c r="U19" s="833"/>
      <c r="V19" s="833"/>
      <c r="W19" s="833"/>
      <c r="X19" s="833"/>
      <c r="Y19" s="833"/>
      <c r="Z19" s="833"/>
      <c r="AA19" s="833"/>
      <c r="AB19" s="833"/>
      <c r="AC19" s="833"/>
      <c r="AD19" s="833"/>
      <c r="AE19" s="833"/>
      <c r="AF19" s="833"/>
    </row>
    <row r="20" spans="1:32" ht="19.5" customHeight="1" thickBot="1">
      <c r="A20" s="906" t="s">
        <v>96</v>
      </c>
      <c r="B20" s="907"/>
      <c r="C20" s="840"/>
      <c r="D20" s="908">
        <f>((SUMIF('Per patient Arm 2'!$B$8:$B$47,"Service Support Cost",'Per patient Arm 2'!$BQ$8:$BQ$47))*'Study Information &amp; rates'!$B$28+(SUMIF('Per patient Arm 1'!$B$7:$B$46,"Service Support Cost",'Per patient Arm 1'!$BQ$7:$BQ$46))*'Study Information &amp; rates'!$B$27+(SUMIF('Per patient Arm 3'!$B$8:$B$47,"Service Support Cost",'Per patient Arm 3'!$BQ$8:$BQ$47))*'Study Information &amp; rates'!$B$29+(SUMIF('Per patient Arm 4'!$B$8:$B$47,"Service Support Cost",'Per patient Arm 4'!$BQ$8:$BQ$47))*'Study Information &amp; rates'!$B$30+(SUMIF('Per patient Arm 5'!$B$8:$B$47,"Service Support Cost",'Per patient Arm 5'!$BQ$8:$BQ$47))*'Study Information &amp; rates'!$B$31)*'Set-up and other costs'!B18</f>
        <v>0</v>
      </c>
      <c r="E20" s="909">
        <f>((SUMIF('Per patient Arm 2'!$B$8:$B$47,"Research Cost A",'Per patient Arm 2'!$BQ$8:$BQ$47))*'Study Information &amp; rates'!$B$28+(SUMIF('Per patient Arm 1'!$B$7:$B$46,"Research Cost A",'Per patient Arm 1'!$BQ$7:$BQ$46))*'Study Information &amp; rates'!$B$27+(SUMIF('Per patient Arm 3'!$B$8:$B$47,"Research Cost A",'Per patient Arm 3'!$BQ$8:$BQ$47))*'Study Information &amp; rates'!$B$29+(SUMIF('Per patient Arm 4'!$B$8:$B$47,"Research Cost A",'Per patient Arm 4'!$BQ$8:$BQ$47))*'Study Information &amp; rates'!$B$30+(SUMIF('Per patient Arm 5'!$B$8:$B$47,"Research Cost A",'Per patient Arm 5'!$BQ$8:$BQ$47))*'Study Information &amp; rates'!$B$31)*'Set-up and other costs'!B18</f>
        <v>0</v>
      </c>
      <c r="F20" s="910">
        <f>((SUMIF('Per patient Arm 2'!$B$8:$B$47,"Research Cost B",'Per patient Arm 2'!$BQ$8:$BQ$47))*'Study Information &amp; rates'!$B$28+(SUMIF('Per patient Arm 1'!$B$7:$B$46,"Research Cost B",'Per patient Arm 1'!$BQ$7:$BQ$46))*'Study Information &amp; rates'!$B$27+(SUMIF('Per patient Arm 3'!$B$8:$B$47,"Research Cost B",'Per patient Arm 3'!$BQ$8:$BQ$47))*'Study Information &amp; rates'!$B$29+(SUMIF('Per patient Arm 4'!$B$8:$B$47,"Research Cost B",'Per patient Arm 4'!$BQ$8:$BQ$47))*'Study Information &amp; rates'!$B$30+(SUMIF('Per patient Arm 5'!$B$8:$B$47,"Research Cost B",'Per patient Arm 5'!$BQ$8:$BQ$47))*'Study Information &amp; rates'!$B$31)*'Set-up and other costs'!B18</f>
        <v>0</v>
      </c>
      <c r="G20" s="911">
        <f>((SUMIF('Per patient Arm 2'!$B$8:$B$47,"Treatment Costs",'Per patient Arm 2'!$BQ$8:$BQ$47))*'Study Information &amp; rates'!$B$28+(SUMIF('Per patient Arm 1'!$B$7:$B$46,"Treatment Costs",'Per patient Arm 1'!$BQ$7:$BQ$46))*'Study Information &amp; rates'!$B$27+(SUMIF('Per patient Arm 3'!$B$8:$B$47,"Treatment Costs",'Per patient Arm 3'!$BQ$8:$BQ$47))*'Study Information &amp; rates'!$B$29+(SUMIF('Per patient Arm 4'!$B$8:$B$47,"Treatment Costs",'Per patient Arm 4'!$BQ$8:$BQ$47))*'Study Information &amp; rates'!$B$30+(SUMIF('Per patient Arm 5'!$B$8:$B$47,"Treatment Costs",'Per patient Arm 5'!$BQ$8:$BQ$47))*'Study Information &amp; rates'!$B$31)*'Set-up and other costs'!B18</f>
        <v>0</v>
      </c>
      <c r="H20" s="912">
        <f>((SUMIF('Per patient Arm 2'!$B$8:$B$47,"Excess Treatment Costs",'Per patient Arm 2'!$BQ$8:$BQ$47))*'Study Information &amp; rates'!$B$28+(SUMIF('Per patient Arm 1'!$B$7:$B$46,"Excess Treatment Costs",'Per patient Arm 1'!$BQ$7:$BQ$46))*'Study Information &amp; rates'!$B$27+(SUMIF('Per patient Arm 3'!$B$8:$B$47,"Excess Treatment Costs",'Per patient Arm 3'!$BQ$8:$BQ$47))*'Study Information &amp; rates'!$B$29+(SUMIF('Per patient Arm 4'!$B$8:$B$47,"Excess Treatment Costs",'Per patient Arm 4'!$BQ$8:$BQ$47))*'Study Information &amp; rates'!$B$30+(SUMIF('Per patient Arm 5'!$B$8:$B$47,"Excess Treatment Costs",'Per patient Arm 5'!$BQ$8:$BQ$47))*'Study Information &amp; rates'!$B$31)*'Set-up and other costs'!B18</f>
        <v>0</v>
      </c>
      <c r="I20" s="913">
        <f>SUM(D20:H20)</f>
        <v>0</v>
      </c>
      <c r="J20" s="833"/>
      <c r="K20" s="898"/>
      <c r="L20" s="898"/>
      <c r="M20" s="833"/>
      <c r="N20" s="833"/>
      <c r="O20" s="833"/>
      <c r="P20" s="833"/>
      <c r="Q20" s="833"/>
      <c r="R20" s="833"/>
      <c r="S20" s="833"/>
      <c r="T20" s="833"/>
      <c r="U20" s="833"/>
      <c r="V20" s="833" t="str">
        <f>A20&amp;'Look Up'!$A$5</f>
        <v>ConsultantService Support Cost</v>
      </c>
      <c r="W20" s="833" t="str">
        <f>A20&amp;'Look Up'!$A$6</f>
        <v>ConsultantResearch Cost A</v>
      </c>
      <c r="X20" s="833" t="str">
        <f>A20&amp;'Look Up'!$A$7</f>
        <v>ConsultantResearch Cost B</v>
      </c>
      <c r="Y20" s="833" t="str">
        <f>A20&amp;'Look Up'!$A$8</f>
        <v>ConsultantTreatment Costs</v>
      </c>
      <c r="Z20" s="833" t="str">
        <f>A20&amp;'Look Up'!$A$9</f>
        <v>ConsultantExcess Treatment Costs</v>
      </c>
      <c r="AA20" s="833"/>
      <c r="AB20" s="833"/>
      <c r="AC20" s="833"/>
      <c r="AD20" s="833"/>
      <c r="AE20" s="833"/>
      <c r="AF20" s="833"/>
    </row>
    <row r="21" spans="1:32" ht="19.5" customHeight="1" thickBot="1">
      <c r="A21" s="906" t="s">
        <v>2006</v>
      </c>
      <c r="B21" s="907"/>
      <c r="C21" s="840"/>
      <c r="D21" s="908">
        <f>((SUMIF('Per patient Arm 2'!$B$8:$B$47,"Service Support Cost",'Per patient Arm 2'!$BR$8:$BR$47))*'Study Information &amp; rates'!$B$28+(SUMIF('Per patient Arm 1'!$B$7:$B$46,"Service Support Cost",'Per patient Arm 1'!$BR$7:$BR$46))*'Study Information &amp; rates'!$B$27+(SUMIF('Per patient Arm 3'!$B$8:$B$47,"Service Support Cost",'Per patient Arm 3'!$BR$8:$BR$47))*'Study Information &amp; rates'!$B$29+(SUMIF('Per patient Arm 4'!$B$8:$B$47,"Service Support Cost",'Per patient Arm 4'!$BR$8:$BR$47))*'Study Information &amp; rates'!$B$30+(SUMIF('Per patient Arm 5'!$B$8:$B$47,"Service Support Cost",'Per patient Arm 5'!$BR$8:$BR$47))*'Study Information &amp; rates'!$B$31)*'Set-up and other costs'!B18</f>
        <v>0</v>
      </c>
      <c r="E21" s="909">
        <f>((SUMIF('Per patient Arm 2'!$B$8:$B$47,"Research Cost A",'Per patient Arm 2'!$BR$8:$BR$47))*'Study Information &amp; rates'!$B$28+(SUMIF('Per patient Arm 1'!$B$7:$B$46,"Research Cost A",'Per patient Arm 1'!$BR$7:$BR$46))*'Study Information &amp; rates'!$B$27+(SUMIF('Per patient Arm 3'!$B$8:$B$47,"Research Cost A",'Per patient Arm 3'!$BR$8:$BR$47))*'Study Information &amp; rates'!$B$29+(SUMIF('Per patient Arm 4'!$B$8:$B$47,"Research Cost A",'Per patient Arm 4'!$BR$8:$BR$47))*'Study Information &amp; rates'!$B$30+(SUMIF('Per patient Arm 5'!$B$8:$B$47,"Research Cost A",'Per patient Arm 5'!$BR$8:$BR$47))*'Study Information &amp; rates'!$B$31)*'Set-up and other costs'!B18</f>
        <v>0</v>
      </c>
      <c r="F21" s="910">
        <f>((SUMIF('Per patient Arm 2'!$B$8:$B$47,"Research Cost B",'Per patient Arm 2'!$BR$8:$BR$47))*'Study Information &amp; rates'!$B$28+(SUMIF('Per patient Arm 1'!$B$7:$B$46,"Research Cost B",'Per patient Arm 1'!$BR$7:$BR$46))*'Study Information &amp; rates'!$B$27+(SUMIF('Per patient Arm 3'!$B$8:$B$47,"Research Cost B",'Per patient Arm 3'!$BR$8:$BR$47))*'Study Information &amp; rates'!$B$29+(SUMIF('Per patient Arm 4'!$B$8:$B$47,"Research Cost B",'Per patient Arm 4'!$BR$8:$BR$47))*'Study Information &amp; rates'!$B$30+(SUMIF('Per patient Arm 5'!$B$8:$B$47,"Research Cost B",'Per patient Arm 5'!$BR$8:$BR$47))*'Study Information &amp; rates'!$B$31)*'Set-up and other costs'!B18</f>
        <v>0</v>
      </c>
      <c r="G21" s="911">
        <f>((SUMIF('Per patient Arm 2'!$B$8:$B$47,"Treatment Costs",'Per patient Arm 2'!$BR$8:$BR$47))*'Study Information &amp; rates'!$B$28+(SUMIF('Per patient Arm 1'!$B$7:$B$46,"Treatment Costs",'Per patient Arm 1'!$BR$7:$BR$46))*'Study Information &amp; rates'!$B$27+(SUMIF('Per patient Arm 3'!$B$8:$B$47,"Treatment Costs",'Per patient Arm 3'!$BR$8:$BR$47))*'Study Information &amp; rates'!$B$29+(SUMIF('Per patient Arm 4'!$B$8:$B$47,"Treatment Costs",'Per patient Arm 4'!$BR$8:$BR$47))*'Study Information &amp; rates'!$B$30+(SUMIF('Per patient Arm 5'!$B$8:$B$47,"Treatment Costs",'Per patient Arm 5'!$BR$8:$BR$47))*'Study Information &amp; rates'!$B$31)*'Set-up and other costs'!B18</f>
        <v>0</v>
      </c>
      <c r="H21" s="912">
        <f>((SUMIF('Per patient Arm 2'!$B$8:$B$47,"Excess Treatment Costs",'Per patient Arm 2'!$BR$8:$BR$47))*'Study Information &amp; rates'!$B$28+(SUMIF('Per patient Arm 1'!$B$7:$B$46,"Excess Treatment Costs",'Per patient Arm 1'!$BR$7:$BR$46))*'Study Information &amp; rates'!$B$27+(SUMIF('Per patient Arm 3'!$B$8:$B$47,"Excess Treatment Costs",'Per patient Arm 3'!$BR$8:$BR$47))*'Study Information &amp; rates'!$B$29+(SUMIF('Per patient Arm 4'!$B$8:$B$47,"Excess Treatment Costs",'Per patient Arm 4'!$BR$8:$BR$47))*'Study Information &amp; rates'!$B$30+(SUMIF('Per patient Arm 5'!$B$8:$B$47,"Excess Treatment Costs",'Per patient Arm 5'!$BR$8:$BR$47))*'Study Information &amp; rates'!$B$31)*'Set-up and other costs'!B18</f>
        <v>0</v>
      </c>
      <c r="I21" s="913">
        <f>SUM(D21:H21)</f>
        <v>0</v>
      </c>
      <c r="J21" s="833"/>
      <c r="K21" s="898"/>
      <c r="L21" s="898"/>
      <c r="M21" s="833"/>
      <c r="N21" s="833"/>
      <c r="O21" s="833"/>
      <c r="P21" s="833"/>
      <c r="Q21" s="833"/>
      <c r="R21" s="833"/>
      <c r="S21" s="833"/>
      <c r="T21" s="833"/>
      <c r="U21" s="833"/>
      <c r="V21" s="833" t="str">
        <f>A21&amp;'Look Up'!$A$5</f>
        <v>FellowService Support Cost</v>
      </c>
      <c r="W21" s="833" t="str">
        <f>A21&amp;'Look Up'!$A$6</f>
        <v>FellowResearch Cost A</v>
      </c>
      <c r="X21" s="833" t="str">
        <f>A21&amp;'Look Up'!$A$7</f>
        <v>FellowResearch Cost B</v>
      </c>
      <c r="Y21" s="833" t="str">
        <f>A21&amp;'Look Up'!$A$8</f>
        <v>FellowTreatment Costs</v>
      </c>
      <c r="Z21" s="833" t="str">
        <f>A21&amp;'Look Up'!$A$9</f>
        <v>FellowExcess Treatment Costs</v>
      </c>
      <c r="AA21" s="833"/>
      <c r="AB21" s="833"/>
      <c r="AC21" s="833"/>
      <c r="AD21" s="833"/>
      <c r="AE21" s="833"/>
      <c r="AF21" s="833"/>
    </row>
    <row r="22" spans="1:32" ht="19.5" customHeight="1" thickBot="1">
      <c r="A22" s="914" t="s">
        <v>2007</v>
      </c>
      <c r="B22" s="915"/>
      <c r="C22" s="840"/>
      <c r="D22" s="908">
        <f>((SUMIF('Per patient Arm 2'!$B$8:$B$46,"Service Support Cost",'Per patient Arm 2'!$BS$8:$BS$46))*'Study Information &amp; rates'!$B$28+(SUMIF('Per patient Arm 1'!$B$7:$B$45,"Service Support Cost",'Per patient Arm 1'!$BS$7:$BS$45))*'Study Information &amp; rates'!$B$27+(SUMIF('Per patient Arm 3'!$B$8:$B$46,"Service Support Cost",'Per patient Arm 3'!$BS$8:$BS$46))*'Study Information &amp; rates'!$B$29+(SUMIF('Per patient Arm 4'!$B$8:$B$46,"Service Support Cost",'Per patient Arm 4'!$BS$8:$BS$46))*'Study Information &amp; rates'!$B$30+(SUMIF('Per patient Arm 5'!$B$8:$B$46,"Service Support Cost",'Per patient Arm 5'!$BS$8:$BS$46))*'Study Information &amp; rates'!$B$31)*'Set-up and other costs'!B18</f>
        <v>0</v>
      </c>
      <c r="E22" s="909">
        <f>((SUMIF('Per patient Arm 2'!$B$8:$B$47,"Research Cost A",'Per patient Arm 2'!$BS$8:$BS$47))*'Study Information &amp; rates'!$B$28+(SUMIF('Per patient Arm 1'!$B$7:$B$45,"Research Cost A",'Per patient Arm 1'!$BS$7:$BS$45))*'Study Information &amp; rates'!$B$27+(SUMIF('Per patient Arm 3'!$B$8:$B$47,"Research Cost A",'Per patient Arm 3'!$BS$8:$BS$47))*'Study Information &amp; rates'!$B$29+(SUMIF('Per patient Arm 4'!$B$8:$B$47,"Research Cost A",'Per patient Arm 4'!$BS$8:$BS$47))*'Study Information &amp; rates'!$B$30+(SUMIF('Per patient Arm 5'!$B$8:$B$47,"Research Cost A",'Per patient Arm 5'!$BS$8:$BS$47))*'Study Information &amp; rates'!$B$31)*'Set-up and other costs'!B18</f>
        <v>0</v>
      </c>
      <c r="F22" s="910">
        <f>((SUMIF('Per patient Arm 2'!$B$8:$B$47,"Research Cost B",'Per patient Arm 2'!$BS$8:$BS$47))*'Study Information &amp; rates'!$B$28+(SUMIF('Per patient Arm 1'!$B$7:$B$46,"Research Cost B",'Per patient Arm 1'!$BS$7:$BS$46))*'Study Information &amp; rates'!$B$27+(SUMIF('Per patient Arm 3'!$B$8:$B$47,"Research Cost B",'Per patient Arm 3'!$BS$8:$BS$47))*'Study Information &amp; rates'!$B$29+(SUMIF('Per patient Arm 4'!$B$8:$B$47,"Research Cost B",'Per patient Arm 4'!$BS$8:$BS$47))*'Study Information &amp; rates'!$B$30+(SUMIF('Per patient Arm 5'!$B$8:$B$47,"Research Cost B",'Per patient Arm 5'!$BS$8:$BS$47))*'Study Information &amp; rates'!$B$31)*'Set-up and other costs'!B18</f>
        <v>0</v>
      </c>
      <c r="G22" s="911">
        <f>((SUMIF('Per patient Arm 2'!$B$8:$B$47,"Treatment Costs",'Per patient Arm 2'!$BS$8:$BS$47))*'Study Information &amp; rates'!$B$28+(SUMIF('Per patient Arm 1'!$B$7:$B$46,"Treatment Costs",'Per patient Arm 1'!$BS$7:$BS$46))*'Study Information &amp; rates'!$B$27+(SUMIF('Per patient Arm 3'!$B$8:$B$47,"Treatment Costs",'Per patient Arm 3'!$BS$8:$BS$47))*'Study Information &amp; rates'!$B$29+(SUMIF('Per patient Arm 4'!$B$8:$B$47,"Treatment Costs",'Per patient Arm 4'!$BS$8:$BS$47))*'Study Information &amp; rates'!$B$30+(SUMIF('Per patient Arm 5'!$B$8:$B$47,"Treatment Costs",'Per patient Arm 5'!$BS$8:$BS$47))*'Study Information &amp; rates'!$B$31)*'Set-up and other costs'!B18</f>
        <v>0</v>
      </c>
      <c r="H22" s="912">
        <f>((SUMIF('Per patient Arm 2'!$B$8:$B$47,"Excess Treatment Costs",'Per patient Arm 2'!$BS$8:$BS$47))*'Study Information &amp; rates'!$B$28+(SUMIF('Per patient Arm 1'!$B$7:$B$46,"Excess Treatment Costs",'Per patient Arm 1'!$BS$7:$BS$46))*'Study Information &amp; rates'!$B$27+(SUMIF('Per patient Arm 3'!$B$8:$B$47,"Excess Treatment Costs",'Per patient Arm 3'!$BS$8:$BS$47))*'Study Information &amp; rates'!$B$29+(SUMIF('Per patient Arm 4'!$B$8:$B$47,"Excess Treatment Costs",'Per patient Arm 4'!$BS$8:$BS$47))*'Study Information &amp; rates'!$B$30+(SUMIF('Per patient Arm 5'!$B$8:$B$47,"Excess Treatment Costs",'Per patient Arm 5'!$BS$8:$BS$47))*'Study Information &amp; rates'!$B$31)*'Set-up and other costs'!B18</f>
        <v>0</v>
      </c>
      <c r="I22" s="913">
        <f>SUM(D22:H22)</f>
        <v>0</v>
      </c>
      <c r="J22" s="833"/>
      <c r="K22" s="898"/>
      <c r="L22" s="898"/>
      <c r="M22" s="833"/>
      <c r="N22" s="833"/>
      <c r="O22" s="833"/>
      <c r="P22" s="833"/>
      <c r="Q22" s="833"/>
      <c r="R22" s="833"/>
      <c r="S22" s="833"/>
      <c r="T22" s="833"/>
      <c r="U22" s="833"/>
      <c r="V22" s="833" t="str">
        <f>A22&amp;'Look Up'!$A$5</f>
        <v>NurseService Support Cost</v>
      </c>
      <c r="W22" s="833" t="str">
        <f>A22&amp;'Look Up'!$A$6</f>
        <v>NurseResearch Cost A</v>
      </c>
      <c r="X22" s="833" t="str">
        <f>A22&amp;'Look Up'!$A$7</f>
        <v>NurseResearch Cost B</v>
      </c>
      <c r="Y22" s="833" t="str">
        <f>A22&amp;'Look Up'!$A$8</f>
        <v>NurseTreatment Costs</v>
      </c>
      <c r="Z22" s="833" t="str">
        <f>A22&amp;'Look Up'!$A$9</f>
        <v>NurseExcess Treatment Costs</v>
      </c>
      <c r="AA22" s="833"/>
      <c r="AB22" s="833"/>
      <c r="AC22" s="833"/>
      <c r="AD22" s="833"/>
      <c r="AE22" s="833"/>
      <c r="AF22" s="833"/>
    </row>
    <row r="23" spans="1:32" ht="19.5" customHeight="1" thickBot="1">
      <c r="A23" s="914" t="s">
        <v>2140</v>
      </c>
      <c r="B23" s="915"/>
      <c r="C23" s="840"/>
      <c r="D23" s="908">
        <f>SUMIF('Additional Study Activities'!$Q:$Q,V23,'Additional Study Activities'!$N:$N)</f>
        <v>0</v>
      </c>
      <c r="E23" s="909">
        <f>SUMIF('Additional Study Activities'!$Q:$Q,W23,'Additional Study Activities'!$N:$N)</f>
        <v>0</v>
      </c>
      <c r="F23" s="910">
        <f>SUMIF('Additional Study Activities'!$Q:$Q,X23,'Additional Study Activities'!$N:$N)</f>
        <v>0</v>
      </c>
      <c r="G23" s="911">
        <f>SUMIF('Additional Study Activities'!$Q:$Q,Y23,'Additional Study Activities'!$N:$N)</f>
        <v>0</v>
      </c>
      <c r="H23" s="912">
        <f>SUMIF('Additional Study Activities'!$Q:$Q,Z23,'Additional Study Activities'!$N:$N)</f>
        <v>0</v>
      </c>
      <c r="I23" s="913">
        <f>SUM(D23:H23)</f>
        <v>0</v>
      </c>
      <c r="J23" s="833"/>
      <c r="K23" s="898"/>
      <c r="L23" s="898"/>
      <c r="M23" s="833"/>
      <c r="N23" s="833"/>
      <c r="O23" s="833"/>
      <c r="P23" s="833"/>
      <c r="Q23" s="833"/>
      <c r="R23" s="833"/>
      <c r="S23" s="833"/>
      <c r="T23" s="833"/>
      <c r="U23" s="833"/>
      <c r="V23" s="833" t="str">
        <f>A23&amp;'Look Up'!$A$5</f>
        <v>Additional Staff CostsService Support Cost</v>
      </c>
      <c r="W23" s="833" t="str">
        <f>A23&amp;'Look Up'!$A$6</f>
        <v>Additional Staff CostsResearch Cost A</v>
      </c>
      <c r="X23" s="833" t="str">
        <f>A23&amp;'Look Up'!$A$7</f>
        <v>Additional Staff CostsResearch Cost B</v>
      </c>
      <c r="Y23" s="833" t="str">
        <f>A23&amp;'Look Up'!$A$8</f>
        <v>Additional Staff CostsTreatment Costs</v>
      </c>
      <c r="Z23" s="833" t="str">
        <f>A23&amp;'Look Up'!$A$9</f>
        <v>Additional Staff CostsExcess Treatment Costs</v>
      </c>
      <c r="AA23" s="833"/>
      <c r="AB23" s="833"/>
      <c r="AC23" s="833"/>
      <c r="AD23" s="833"/>
      <c r="AE23" s="833"/>
      <c r="AF23" s="833"/>
    </row>
    <row r="24" spans="1:32" ht="19.5" customHeight="1" thickBot="1">
      <c r="A24" s="914" t="s">
        <v>8</v>
      </c>
      <c r="B24" s="915"/>
      <c r="C24" s="840"/>
      <c r="D24" s="908">
        <f>((SUMIF('Per patient Arm 2'!$B$8:$B$47,"Service Support Cost",'Per patient Arm 2'!$BT$8:$BT$47))*'Study Information &amp; rates'!$B$28+(SUMIF('Per patient Arm 1'!$B$7:$B$46,"Service Support Cost",'Per patient Arm 1'!$BT$7:$BT$46))*'Study Information &amp; rates'!$B$27+(SUMIF('Per patient Arm 3'!$B$8:$B$47,"Service Support Cost",'Per patient Arm 3'!$BT$8:$BT$47))*'Study Information &amp; rates'!$B$29+(SUMIF('Per patient Arm 4'!$B$8:$B$47,"Service Support Cost",'Per patient Arm 4'!$BT$8:$BT$47))*'Study Information &amp; rates'!$B$30+(SUMIF('Per patient Arm 5'!$B$8:$B$47,"Service Support Cost",'Per patient Arm 5'!$BT$8:$BT$47))*'Study Information &amp; rates'!$B$31)*'Set-up and other costs'!B18</f>
        <v>0</v>
      </c>
      <c r="E24" s="909">
        <f>((SUMIF('Per patient Arm 2'!$B$8:$B$47,"Research Cost A",'Per patient Arm 2'!$BT$8:$BT$47))*'Study Information &amp; rates'!$B$28+(SUMIF('Per patient Arm 1'!$B$7:$B$46,"Research Cost A",'Per patient Arm 1'!$BT$7:$BT$46))*'Study Information &amp; rates'!$B$27+(SUMIF('Per patient Arm 3'!$B$8:$B$47,"Research Cost A",'Per patient Arm 3'!$BT$8:$BT$47))*'Study Information &amp; rates'!$B$29+(SUMIF('Per patient Arm 4'!$B$8:$B$47,"Research Cost A",'Per patient Arm 4'!$BT$8:$BT$47))*'Study Information &amp; rates'!$B$30+(SUMIF('Per patient Arm 5'!$B$8:$B$47,"Research Cost A",'Per patient Arm 5'!$BT$8:$BT$47))*'Study Information &amp; rates'!$B$31)*'Set-up and other costs'!B18</f>
        <v>0</v>
      </c>
      <c r="F24" s="910">
        <f>((SUMIF('Per patient Arm 2'!$B$8:$B$47,"Research Cost B",'Per patient Arm 2'!$BT$8:$BT$47))*'Study Information &amp; rates'!$B$28+(SUMIF('Per patient Arm 1'!$B$7:$B$46,"Research Cost B",'Per patient Arm 1'!$BT$7:$BT$46))*'Study Information &amp; rates'!$B$27+(SUMIF('Per patient Arm 3'!$B$8:$B$47,"Research Cost B",'Per patient Arm 3'!$BT$8:$BT$47))*'Study Information &amp; rates'!$B$29+(SUMIF('Per patient Arm 4'!$B$8:$B$47,"Research Cost B",'Per patient Arm 4'!$BT$8:$BT$47))*'Study Information &amp; rates'!$B$30+(SUMIF('Per patient Arm 5'!$B$8:$B$47,"Research Cost B",'Per patient Arm 5'!$BT$8:$BT$47))*'Study Information &amp; rates'!$B$31)*'Set-up and other costs'!B18</f>
        <v>0</v>
      </c>
      <c r="G24" s="911">
        <f>((SUMIF('Per patient Arm 2'!$B$8:$B$47,"Treatment Costs",'Per patient Arm 2'!$BT$8:$BT$47))*'Study Information &amp; rates'!$B$28+(SUMIF('Per patient Arm 1'!$B$7:$B$46,"Treatment Costs",'Per patient Arm 1'!$BT$7:$BT$46))*'Study Information &amp; rates'!$B$27+(SUMIF('Per patient Arm 3'!$B$8:$B$47,"Treatment Costs",'Per patient Arm 3'!$BT$8:$BT$47))*'Study Information &amp; rates'!$B$29+(SUMIF('Per patient Arm 4'!$B$8:$B$47,"Treatment Costs",'Per patient Arm 4'!$BT$8:$BT$47))*'Study Information &amp; rates'!$B$30+(SUMIF('Per patient Arm 5'!$B$8:$B$47,"Treatment Costs",'Per patient Arm 5'!$BT$8:$BT$47))*'Study Information &amp; rates'!$B$31)*'Set-up and other costs'!B18</f>
        <v>0</v>
      </c>
      <c r="H24" s="912">
        <f>((SUMIF('Per patient Arm 2'!$B$8:$B$47,"Excess Treatment Costs",'Per patient Arm 2'!$BT$8:$BT$47))*'Study Information &amp; rates'!$B$28+(SUMIF('Per patient Arm 1'!$B$7:$B$46,"Excess Treatment Costs",'Per patient Arm 1'!$BT$7:$BT$46))*'Study Information &amp; rates'!$B$27+(SUMIF('Per patient Arm 3'!$B$8:$B$47,"Excess Treatment Costs",'Per patient Arm 3'!$BT$8:$BT$47))*'Study Information &amp; rates'!$B$29+(SUMIF('Per patient Arm 4'!$B$8:$B$47,"Excess Treatment Costs",'Per patient Arm 4'!$BT$8:$BT$47))*'Study Information &amp; rates'!$B$30+(SUMIF('Per patient Arm 5'!$B$8:$B$47,"Excess Treatment Costs",'Per patient Arm 5'!$BT$8:$BT$47))*'Study Information &amp; rates'!$B$31)*'Set-up and other costs'!B18</f>
        <v>0</v>
      </c>
      <c r="I24" s="913">
        <f>SUM(D24:H24)</f>
        <v>0</v>
      </c>
      <c r="J24" s="833"/>
      <c r="K24" s="898"/>
      <c r="L24" s="898"/>
      <c r="M24" s="833"/>
      <c r="N24" s="833"/>
      <c r="O24" s="833"/>
      <c r="P24" s="833"/>
      <c r="Q24" s="833"/>
      <c r="R24" s="833"/>
      <c r="S24" s="833"/>
      <c r="T24" s="833"/>
      <c r="U24" s="833"/>
      <c r="V24" s="833" t="str">
        <f>A24&amp;'Look Up'!$A$5</f>
        <v>AdminService Support Cost</v>
      </c>
      <c r="W24" s="833" t="str">
        <f>A24&amp;'Look Up'!$A$6</f>
        <v>AdminResearch Cost A</v>
      </c>
      <c r="X24" s="833" t="str">
        <f>A24&amp;'Look Up'!$A$7</f>
        <v>AdminResearch Cost B</v>
      </c>
      <c r="Y24" s="833" t="str">
        <f>A24&amp;'Look Up'!$A$8</f>
        <v>AdminTreatment Costs</v>
      </c>
      <c r="Z24" s="833" t="str">
        <f>A24&amp;'Look Up'!$A$9</f>
        <v>AdminExcess Treatment Costs</v>
      </c>
      <c r="AA24" s="833"/>
      <c r="AB24" s="833"/>
      <c r="AC24" s="833"/>
      <c r="AD24" s="833"/>
      <c r="AE24" s="833"/>
      <c r="AF24" s="833"/>
    </row>
    <row r="25" spans="1:32" ht="19.5" customHeight="1" thickBot="1">
      <c r="A25" s="906" t="s">
        <v>1930</v>
      </c>
      <c r="B25" s="907">
        <v>701102</v>
      </c>
      <c r="C25" s="840"/>
      <c r="D25" s="908">
        <f>SUMIF(Pathology!$M:$M,V25,Pathology!$J:$J)</f>
        <v>0</v>
      </c>
      <c r="E25" s="909">
        <f>SUMIF(Pathology!$M:$M,W25,Pathology!$J:$J)</f>
        <v>0</v>
      </c>
      <c r="F25" s="910">
        <f>SUMIF(Pathology!$M:$M,X25,Pathology!$J:$J)</f>
        <v>0</v>
      </c>
      <c r="G25" s="911">
        <f>SUMIF(Pathology!$M:$M,Y25,Pathology!$J:$J)</f>
        <v>0</v>
      </c>
      <c r="H25" s="912">
        <f>SUMIF(Pathology!$M:$M,Z25,Pathology!$J:$J)</f>
        <v>0</v>
      </c>
      <c r="I25" s="913">
        <f>SUM(D25:H25)</f>
        <v>0</v>
      </c>
      <c r="J25" s="833"/>
      <c r="K25" s="898"/>
      <c r="L25" s="898"/>
      <c r="M25" s="833"/>
      <c r="N25" s="833"/>
      <c r="O25" s="833"/>
      <c r="P25" s="833"/>
      <c r="Q25" s="833"/>
      <c r="R25" s="833"/>
      <c r="S25" s="833"/>
      <c r="T25" s="833"/>
      <c r="U25" s="833"/>
      <c r="V25" s="833" t="str">
        <f>A25&amp;'Look Up'!$A$5</f>
        <v>PathologyService Support Cost</v>
      </c>
      <c r="W25" s="833" t="str">
        <f>A25&amp;'Look Up'!$A$6</f>
        <v>PathologyResearch Cost A</v>
      </c>
      <c r="X25" s="833" t="str">
        <f>A25&amp;'Look Up'!$A$7</f>
        <v>PathologyResearch Cost B</v>
      </c>
      <c r="Y25" s="833" t="str">
        <f>A25&amp;'Look Up'!$A$8</f>
        <v>PathologyTreatment Costs</v>
      </c>
      <c r="Z25" s="833" t="str">
        <f>A25&amp;'Look Up'!$A$9</f>
        <v>PathologyExcess Treatment Costs</v>
      </c>
      <c r="AA25" s="833"/>
      <c r="AB25" s="833"/>
      <c r="AC25" s="833"/>
      <c r="AD25" s="833"/>
      <c r="AE25" s="833"/>
      <c r="AF25" s="833"/>
    </row>
    <row r="26" spans="1:32" ht="19.5" customHeight="1" thickBot="1">
      <c r="A26" s="906" t="s">
        <v>1705</v>
      </c>
      <c r="B26" s="907">
        <v>404110</v>
      </c>
      <c r="C26" s="840"/>
      <c r="D26" s="908">
        <f>SUMIF(Radiology!$M:$M,V26,Radiology!$K:$K)</f>
        <v>0</v>
      </c>
      <c r="E26" s="909">
        <f>SUMIF(Radiology!$M:$M,W26,Radiology!$K:$K)</f>
        <v>0</v>
      </c>
      <c r="F26" s="910">
        <f>SUMIF(Radiology!$M:$M,X26,Radiology!$K:$K)</f>
        <v>0</v>
      </c>
      <c r="G26" s="911">
        <f>SUMIF(Radiology!$M:$M,Y26,Radiology!$K:$K)</f>
        <v>0</v>
      </c>
      <c r="H26" s="912">
        <f>SUMIF(Radiology!$M:$M,Z26,Radiology!$K:$K)</f>
        <v>0</v>
      </c>
      <c r="I26" s="913">
        <f>SUM(D26:H26)</f>
        <v>0</v>
      </c>
      <c r="J26" s="833"/>
      <c r="K26" s="898"/>
      <c r="L26" s="898"/>
      <c r="M26" s="833"/>
      <c r="N26" s="833"/>
      <c r="O26" s="833"/>
      <c r="P26" s="833"/>
      <c r="Q26" s="833"/>
      <c r="R26" s="833"/>
      <c r="S26" s="833"/>
      <c r="T26" s="833"/>
      <c r="U26" s="833"/>
      <c r="V26" s="833" t="str">
        <f>A26&amp;'Look Up'!$A$5</f>
        <v>RadiologyService Support Cost</v>
      </c>
      <c r="W26" s="833" t="str">
        <f>A26&amp;'Look Up'!$A$6</f>
        <v>RadiologyResearch Cost A</v>
      </c>
      <c r="X26" s="833" t="str">
        <f>A26&amp;'Look Up'!$A$7</f>
        <v>RadiologyResearch Cost B</v>
      </c>
      <c r="Y26" s="833" t="str">
        <f>A26&amp;'Look Up'!$A$8</f>
        <v>RadiologyTreatment Costs</v>
      </c>
      <c r="Z26" s="833" t="str">
        <f>A26&amp;'Look Up'!$A$9</f>
        <v>RadiologyExcess Treatment Costs</v>
      </c>
      <c r="AA26" s="833"/>
      <c r="AB26" s="833"/>
      <c r="AC26" s="833"/>
      <c r="AD26" s="833"/>
      <c r="AE26" s="833"/>
      <c r="AF26" s="833"/>
    </row>
    <row r="27" spans="1:32" ht="19.5" customHeight="1" thickBot="1">
      <c r="A27" s="1008" t="s">
        <v>2472</v>
      </c>
      <c r="B27" s="907">
        <v>700104</v>
      </c>
      <c r="C27" s="840"/>
      <c r="D27" s="908">
        <f>(SUMIF('Per patient Arm 2'!$BO$56:$BO$81,V27,'Per patient Arm 2'!$AV$56:$AV$81)*'Study Information &amp; rates'!$B$28)+(SUMIF('Per patient Arm 1'!$BO$55:$BO$80,V27,'Per patient Arm 1'!$AU$55:$AU$80)*'Study Information &amp; rates'!$B$27)+(SUMIF('Per patient Arm 3'!$BO$56:$BO$81,V27,'Per patient Arm 3'!$AV$56:$AV$81)*'Study Information &amp; rates'!$B$29)+(SUMIF('Per patient Arm 4'!$BO$56:$BO$81,V27,'Per patient Arm 4'!$AV$56:$AV$81)*'Study Information &amp; rates'!$B$30)+(SUMIF('Per patient Arm 5'!$BO$56:$BO$81,V27,'Per patient Arm 5'!$AV$56:$AV$81)*'Study Information &amp; rates'!$B$31)</f>
        <v>0</v>
      </c>
      <c r="E27" s="909">
        <f>(SUMIF('Per patient Arm 2'!$BO$56:$BO$81,W27,'Per patient Arm 2'!$AV$56:$AV$81)*'Study Information &amp; rates'!$B$28)+(SUMIF('Per patient Arm 1'!$BO$55:$BO$80,W27,'Per patient Arm 1'!$AU$55:$AU$80)*'Study Information &amp; rates'!$B$27)+(SUMIF('Per patient Arm 3'!$BO$56:$BO$81,W27,'Per patient Arm 3'!$AV$56:$AV$81)*'Study Information &amp; rates'!$B$29)+(SUMIF('Per patient Arm 4'!$BO$56:$BO$81,W27,'Per patient Arm 4'!$AV$56:$AV$81)*'Study Information &amp; rates'!$B$30)+(SUMIF('Per patient Arm 5'!$BO$56:$BO$81,W27,'Per patient Arm 5'!$AV$56:$AV$81)*'Study Information &amp; rates'!$B$31)</f>
        <v>0</v>
      </c>
      <c r="F27" s="910">
        <f>(SUMIF('Per patient Arm 2'!$BO$56:$BO$81,X27,'Per patient Arm 2'!$AV$56:$AV$81)*'Study Information &amp; rates'!$B$28)+(SUMIF('Per patient Arm 1'!$BO$55:$BO$80,X27,'Per patient Arm 1'!$AU$55:$AU$80)*'Study Information &amp; rates'!$B$27)+(SUMIF('Per patient Arm 3'!$BO$56:$BO$81,X27,'Per patient Arm 3'!$AV$56:$AV$81)*'Study Information &amp; rates'!$B$29)+(SUMIF('Per patient Arm 4'!$BO$56:$BO$81,X27,'Per patient Arm 4'!$AV$56:$AV$81)*'Study Information &amp; rates'!$B$30)+(SUMIF('Per patient Arm 5'!$BO$56:$BO$81,X27,'Per patient Arm 5'!$AV$56:$AV$81)*'Study Information &amp; rates'!$B$31)</f>
        <v>0</v>
      </c>
      <c r="G27" s="911">
        <f>(SUMIF('Per patient Arm 2'!$BO$56:$BO$81,Y27,'Per patient Arm 2'!$AV$56:$AV$81)*'Study Information &amp; rates'!$B$28)+(SUMIF('Per patient Arm 1'!$BO$55:$BO$80,Y27,'Per patient Arm 1'!$AU$55:$AU$80)*'Study Information &amp; rates'!$B$27)+(SUMIF('Per patient Arm 3'!$BO$56:$BO$81,Y27,'Per patient Arm 3'!$AV$56:$AV$81)*'Study Information &amp; rates'!$B$29)+(SUMIF('Per patient Arm 4'!$BO$56:$BO$81,Y27,'Per patient Arm 4'!$AV$56:$AV$81)*'Study Information &amp; rates'!$B$30)+(SUMIF('Per patient Arm 5'!$BO$56:$BO$81,Y27,'Per patient Arm 5'!$AV$56:$AV$81)*'Study Information &amp; rates'!$B$31)</f>
        <v>0</v>
      </c>
      <c r="H27" s="912">
        <f>(SUMIF('Per patient Arm 2'!$BO$56:$BO$81,Z27,'Per patient Arm 2'!$AV$56:$AV$81)*'Study Information &amp; rates'!$B$28)+(SUMIF('Per patient Arm 1'!$BO$55:$BO$80,Z27,'Per patient Arm 1'!$AU$55:$AU$80)*'Study Information &amp; rates'!$B$27)+(SUMIF('Per patient Arm 3'!$BO$56:$BO$81,Z27,'Per patient Arm 3'!$AV$56:$AV$81)*'Study Information &amp; rates'!$B$29)+(SUMIF('Per patient Arm 4'!$BO$56:$BO$81,Z27,'Per patient Arm 4'!$AV$56:$AV$81)*'Study Information &amp; rates'!$B$30)+(SUMIF('Per patient Arm 5'!$BO$56:$BO$81,Z27,'Per patient Arm 5'!$AV$56:$AV$81)*'Study Information &amp; rates'!$B$31)</f>
        <v>0</v>
      </c>
      <c r="I27" s="913">
        <f>SUM(D27:H27)</f>
        <v>0</v>
      </c>
      <c r="J27" s="833"/>
      <c r="K27" s="898"/>
      <c r="L27" s="898"/>
      <c r="M27" s="833"/>
      <c r="N27" s="833"/>
      <c r="O27" s="833"/>
      <c r="P27" s="833"/>
      <c r="Q27" s="833"/>
      <c r="R27" s="833"/>
      <c r="S27" s="833"/>
      <c r="T27" s="833"/>
      <c r="U27" s="833"/>
      <c r="V27" s="833" t="str">
        <f>A27&amp;'Look Up'!$A$5</f>
        <v>OphthalmologyService Support Cost</v>
      </c>
      <c r="W27" s="833" t="str">
        <f>A27&amp;'Look Up'!$A$6</f>
        <v>OphthalmologyResearch Cost A</v>
      </c>
      <c r="X27" s="833" t="str">
        <f>A27&amp;'Look Up'!$A$7</f>
        <v>OphthalmologyResearch Cost B</v>
      </c>
      <c r="Y27" s="833" t="str">
        <f>A27&amp;'Look Up'!$A$8</f>
        <v>OphthalmologyTreatment Costs</v>
      </c>
      <c r="Z27" s="833" t="str">
        <f>A27&amp;'Look Up'!$A$9</f>
        <v>OphthalmologyExcess Treatment Costs</v>
      </c>
      <c r="AA27" s="833"/>
      <c r="AB27" s="833"/>
      <c r="AC27" s="833"/>
      <c r="AD27" s="833"/>
      <c r="AE27" s="833"/>
      <c r="AF27" s="833"/>
    </row>
    <row r="28" spans="1:32" ht="19.5" customHeight="1" thickBot="1">
      <c r="A28" s="906" t="s">
        <v>2009</v>
      </c>
      <c r="B28" s="907"/>
      <c r="C28" s="840"/>
      <c r="D28" s="908">
        <f>(SUMIF('Per patient Arm 2'!$BO$56:$BO$81,V28,'Per patient Arm 2'!$AV$56:$AV$81)*'Study Information &amp; rates'!$B$28)+(SUMIF('Per patient Arm 1'!$BO$55:$BO$80,V28,'Per patient Arm 1'!$AU$55:$AU$80)*'Study Information &amp; rates'!$B$27)+(SUMIF('Per patient Arm 3'!$BO$56:$BO$81,V28,'Per patient Arm 3'!$AV$56:$AV$81)*'Study Information &amp; rates'!$B$29)+(SUMIF('Per patient Arm 4'!$BO$56:$BO$81,V28,'Per patient Arm 4'!$AV$56:$AV$81)*'Study Information &amp; rates'!$B$30)+(SUMIF('Per patient Arm 5'!$BO$56:$BO$81,V28,'Per patient Arm 5'!$AV$56:$AV$81)*'Study Information &amp; rates'!$B$31)</f>
        <v>0</v>
      </c>
      <c r="E28" s="909">
        <f>(SUMIF('Per patient Arm 2'!$BO$56:$BO$81,W28,'Per patient Arm 2'!$AV$56:$AV$81)*'Study Information &amp; rates'!$B$28)+(SUMIF('Per patient Arm 1'!$BO$55:$BO$80,W28,'Per patient Arm 1'!$AU$55:$AU$80)*'Study Information &amp; rates'!$B$27)+(SUMIF('Per patient Arm 3'!$BO$56:$BO$81,W28,'Per patient Arm 3'!$AV$56:$AV$81)*'Study Information &amp; rates'!$B$29)+(SUMIF('Per patient Arm 4'!$BO$56:$BO$81,W28,'Per patient Arm 4'!$AV$56:$AV$81)*'Study Information &amp; rates'!$B$30)+(SUMIF('Per patient Arm 5'!$BO$56:$BO$81,W28,'Per patient Arm 5'!$AV$56:$AV$81)*'Study Information &amp; rates'!$B$31)</f>
        <v>0</v>
      </c>
      <c r="F28" s="910">
        <f>(SUMIF('Per patient Arm 2'!$BO$56:$BO$81,X28,'Per patient Arm 2'!$AV$56:$AV$81)*'Study Information &amp; rates'!$B$28)+(SUMIF('Per patient Arm 1'!$BO$55:$BO$80,X28,'Per patient Arm 1'!$AU$55:$AU$80)*'Study Information &amp; rates'!$B$27)+(SUMIF('Per patient Arm 3'!$BO$56:$BO$81,X28,'Per patient Arm 3'!$AV$56:$AV$81)*'Study Information &amp; rates'!$B$29)+(SUMIF('Per patient Arm 4'!$BO$56:$BO$81,X28,'Per patient Arm 4'!$AV$56:$AV$81)*'Study Information &amp; rates'!$B$30)+(SUMIF('Per patient Arm 5'!$BO$56:$BO$81,X28,'Per patient Arm 5'!$AV$56:$AV$81)*'Study Information &amp; rates'!$B$31)</f>
        <v>0</v>
      </c>
      <c r="G28" s="911">
        <f>(SUMIF('Per patient Arm 2'!$BO$56:$BO$81,Y28,'Per patient Arm 2'!$AV$56:$AV$81)*'Study Information &amp; rates'!$B$28)+(SUMIF('Per patient Arm 1'!$BO$55:$BO$80,Y28,'Per patient Arm 1'!$AU$55:$AU$80)*'Study Information &amp; rates'!$B$27)+(SUMIF('Per patient Arm 3'!$BO$56:$BO$81,Y28,'Per patient Arm 3'!$AV$56:$AV$81)*'Study Information &amp; rates'!$B$29)+(SUMIF('Per patient Arm 4'!$BO$56:$BO$81,Y28,'Per patient Arm 4'!$AV$56:$AV$81)*'Study Information &amp; rates'!$B$30)+(SUMIF('Per patient Arm 5'!$BO$56:$BO$81,Y28,'Per patient Arm 5'!$AV$56:$AV$81)*'Study Information &amp; rates'!$B$31)</f>
        <v>0</v>
      </c>
      <c r="H28" s="912">
        <f>(SUMIF('Per patient Arm 2'!$BO$56:$BO$81,Z28,'Per patient Arm 2'!$AV$56:$AV$81)*'Study Information &amp; rates'!$B$28)+(SUMIF('Per patient Arm 1'!$BO$55:$BO$80,Z28,'Per patient Arm 1'!$AU$55:$AU$80)*'Study Information &amp; rates'!$B$27)+(SUMIF('Per patient Arm 3'!$BO$56:$BO$81,Z28,'Per patient Arm 3'!$AV$56:$AV$81)*'Study Information &amp; rates'!$B$29)+(SUMIF('Per patient Arm 4'!$BO$56:$BO$81,Z28,'Per patient Arm 4'!$AV$56:$AV$81)*'Study Information &amp; rates'!$B$30)+(SUMIF('Per patient Arm 5'!$BO$56:$BO$81,Z28,'Per patient Arm 5'!$AV$56:$AV$81)*'Study Information &amp; rates'!$B$31)</f>
        <v>0</v>
      </c>
      <c r="I28" s="913">
        <f>SUM(D28:H28)</f>
        <v>0</v>
      </c>
      <c r="J28" s="833"/>
      <c r="K28" s="898"/>
      <c r="L28" s="898"/>
      <c r="M28" s="833"/>
      <c r="N28" s="833"/>
      <c r="O28" s="833"/>
      <c r="P28" s="833"/>
      <c r="Q28" s="833"/>
      <c r="R28" s="833"/>
      <c r="S28" s="833"/>
      <c r="T28" s="833"/>
      <c r="U28" s="833"/>
      <c r="V28" s="833" t="str">
        <f>A28&amp;'Look Up'!$A$5</f>
        <v>Other CostsService Support Cost</v>
      </c>
      <c r="W28" s="833" t="str">
        <f>A28&amp;'Look Up'!$A$6</f>
        <v>Other CostsResearch Cost A</v>
      </c>
      <c r="X28" s="833" t="str">
        <f>A28&amp;'Look Up'!$A$7</f>
        <v>Other CostsResearch Cost B</v>
      </c>
      <c r="Y28" s="833" t="str">
        <f>A28&amp;'Look Up'!$A$8</f>
        <v>Other CostsTreatment Costs</v>
      </c>
      <c r="Z28" s="833" t="str">
        <f>A28&amp;'Look Up'!$A$9</f>
        <v>Other CostsExcess Treatment Costs</v>
      </c>
      <c r="AA28" s="833"/>
      <c r="AB28" s="833"/>
      <c r="AC28" s="833"/>
      <c r="AD28" s="833"/>
      <c r="AE28" s="833"/>
      <c r="AF28" s="833"/>
    </row>
    <row r="29" spans="1:32" ht="19.5" customHeight="1" thickBot="1">
      <c r="A29" s="906" t="s">
        <v>1931</v>
      </c>
      <c r="B29" s="907">
        <v>700251</v>
      </c>
      <c r="C29" s="840"/>
      <c r="D29" s="908">
        <f>SUMIF(CRF!$O:$O,V29,CRF!$L:$L)</f>
        <v>0</v>
      </c>
      <c r="E29" s="909">
        <f>SUMIF(CRF!$O:$O,W29,CRF!$L:$L)</f>
        <v>0</v>
      </c>
      <c r="F29" s="910">
        <f>SUMIF(CRF!$O:$O,X29,CRF!$L:$L)</f>
        <v>0</v>
      </c>
      <c r="G29" s="911">
        <f>SUMIF(CRF!$O:$O,Y29,CRF!$L:$L)</f>
        <v>0</v>
      </c>
      <c r="H29" s="912">
        <f>SUMIF(CRF!$O:$O,Z29,CRF!$L:$L)</f>
        <v>0</v>
      </c>
      <c r="I29" s="913">
        <f>SUM(D29:H29)</f>
        <v>0</v>
      </c>
      <c r="J29" s="833"/>
      <c r="K29" s="898"/>
      <c r="L29" s="898"/>
      <c r="M29" s="833"/>
      <c r="N29" s="833"/>
      <c r="O29" s="833"/>
      <c r="P29" s="833"/>
      <c r="Q29" s="833"/>
      <c r="R29" s="833"/>
      <c r="S29" s="833"/>
      <c r="T29" s="833"/>
      <c r="U29" s="833"/>
      <c r="V29" s="833" t="str">
        <f>A29&amp;'Look Up'!$A$5</f>
        <v>CRFService Support Cost</v>
      </c>
      <c r="W29" s="833" t="str">
        <f>A29&amp;'Look Up'!$A$6</f>
        <v>CRFResearch Cost A</v>
      </c>
      <c r="X29" s="833" t="str">
        <f>A29&amp;'Look Up'!$A$7</f>
        <v>CRFResearch Cost B</v>
      </c>
      <c r="Y29" s="833" t="str">
        <f>A29&amp;'Look Up'!$A$8</f>
        <v>CRFTreatment Costs</v>
      </c>
      <c r="Z29" s="833" t="str">
        <f>A29&amp;'Look Up'!$A$9</f>
        <v>CRFExcess Treatment Costs</v>
      </c>
      <c r="AA29" s="833"/>
      <c r="AB29" s="833"/>
      <c r="AC29" s="833"/>
      <c r="AD29" s="833"/>
      <c r="AE29" s="833"/>
      <c r="AF29" s="833"/>
    </row>
    <row r="30" spans="1:32" ht="19.5" customHeight="1" thickBot="1">
      <c r="A30" s="914" t="s">
        <v>1695</v>
      </c>
      <c r="B30" s="915"/>
      <c r="C30" s="840"/>
      <c r="D30" s="908">
        <f>SUMIF(Pharmacy!$M:$M,V30,Pharmacy!$J:$J)</f>
        <v>0</v>
      </c>
      <c r="E30" s="909">
        <f>SUMIF(Pharmacy!$M:$M,W30,Pharmacy!$J:$J)</f>
        <v>0</v>
      </c>
      <c r="F30" s="910">
        <f>SUMIF(Pharmacy!$M:$M,X30,Pharmacy!$J:$J)</f>
        <v>0</v>
      </c>
      <c r="G30" s="911">
        <f>SUMIF(Pharmacy!$M:$M,Y30,Pharmacy!$J:$J)</f>
        <v>0</v>
      </c>
      <c r="H30" s="912">
        <f>SUMIF(Pharmacy!$M:$M,Z30,Pharmacy!$J:$J)</f>
        <v>0</v>
      </c>
      <c r="I30" s="913">
        <f>SUM(D30:H30)</f>
        <v>0</v>
      </c>
      <c r="J30" s="833"/>
      <c r="K30" s="898"/>
      <c r="L30" s="898"/>
      <c r="M30" s="833"/>
      <c r="N30" s="833"/>
      <c r="O30" s="833"/>
      <c r="P30" s="833"/>
      <c r="Q30" s="833"/>
      <c r="R30" s="833"/>
      <c r="S30" s="833"/>
      <c r="T30" s="833"/>
      <c r="U30" s="833"/>
      <c r="V30" s="833" t="str">
        <f>A30&amp;'Look Up'!$A$5</f>
        <v>PharmacyService Support Cost</v>
      </c>
      <c r="W30" s="833" t="str">
        <f>A30&amp;'Look Up'!$A$6</f>
        <v>PharmacyResearch Cost A</v>
      </c>
      <c r="X30" s="833" t="str">
        <f>A30&amp;'Look Up'!$A$7</f>
        <v>PharmacyResearch Cost B</v>
      </c>
      <c r="Y30" s="833" t="str">
        <f>A30&amp;'Look Up'!$A$8</f>
        <v>PharmacyTreatment Costs</v>
      </c>
      <c r="Z30" s="833" t="str">
        <f>A30&amp;'Look Up'!$A$9</f>
        <v>PharmacyExcess Treatment Costs</v>
      </c>
      <c r="AA30" s="833"/>
      <c r="AB30" s="833"/>
      <c r="AC30" s="833"/>
      <c r="AD30" s="833"/>
      <c r="AE30" s="833"/>
      <c r="AF30" s="833"/>
    </row>
    <row r="31" spans="1:32" ht="19.5" customHeight="1" thickBot="1">
      <c r="A31" s="916" t="s">
        <v>2152</v>
      </c>
      <c r="B31" s="915"/>
      <c r="C31" s="840"/>
      <c r="D31" s="908">
        <f>(SUMIF('Per patient Arm 2'!$BO$56:$BO$81,V31,'Per patient Arm 2'!$AV$56:$AV$81)*'Study Information &amp; rates'!$B$28)+(SUMIF('Per patient Arm 1'!$BO$55:$BO$80,V31,'Per patient Arm 1'!$AU$55:$AU$80)*'Study Information &amp; rates'!$B$27)+(SUMIF('Per patient Arm 3'!$BO$56:$BO$81,V31,'Per patient Arm 3'!$AV$56:$AV$81)*'Study Information &amp; rates'!$B$29)+(SUMIF('Per patient Arm 4'!$BO$56:$BO$81,V31,'Per patient Arm 4'!$AV$56:$AV$81)*'Study Information &amp; rates'!$B$30)+(SUMIF('Per patient Arm 5'!$BO$56:$BO$81,V31,'Per patient Arm 5'!$AV$56:$AV$81)*'Study Information &amp; rates'!$B$31)</f>
        <v>0</v>
      </c>
      <c r="E31" s="909">
        <f>(SUMIF('Per patient Arm 2'!$BO$56:$BO$81,W31,'Per patient Arm 2'!$AV$56:$AV$81)*'Study Information &amp; rates'!$B$28)+(SUMIF('Per patient Arm 1'!$BO$55:$BO$80,W31,'Per patient Arm 1'!$AU$55:$AU$80)*'Study Information &amp; rates'!$B$27)+(SUMIF('Per patient Arm 3'!$BO$56:$BO$81,W31,'Per patient Arm 3'!$AV$56:$AV$81)*'Study Information &amp; rates'!$B$29)+(SUMIF('Per patient Arm 4'!$BO$56:$BO$81,W31,'Per patient Arm 4'!$AV$56:$AV$81)*'Study Information &amp; rates'!$B$30)+(SUMIF('Per patient Arm 5'!$BO$56:$BO$81,W31,'Per patient Arm 5'!$AV$56:$AV$81)*'Study Information &amp; rates'!$B$31)</f>
        <v>0</v>
      </c>
      <c r="F31" s="910">
        <f>(SUMIF('Per patient Arm 2'!$BO$56:$BO$81,X31,'Per patient Arm 2'!$AV$56:$AV$81)*'Study Information &amp; rates'!$B$28)+(SUMIF('Per patient Arm 1'!$BO$55:$BO$80,X31,'Per patient Arm 1'!$AU$55:$AU$80)*'Study Information &amp; rates'!$B$27)+(SUMIF('Per patient Arm 3'!$BO$56:$BO$81,X31,'Per patient Arm 3'!$AV$56:$AV$81)*'Study Information &amp; rates'!$B$29)+(SUMIF('Per patient Arm 4'!$BO$56:$BO$81,X31,'Per patient Arm 4'!$AV$56:$AV$81)*'Study Information &amp; rates'!$B$30)+(SUMIF('Per patient Arm 5'!$BO$56:$BO$81,X31,'Per patient Arm 5'!$AV$56:$AV$81)*'Study Information &amp; rates'!$B$31)</f>
        <v>0</v>
      </c>
      <c r="G31" s="911">
        <f>(SUMIF('Per patient Arm 2'!$BO$56:$BO$81,Y31,'Per patient Arm 2'!$AV$56:$AV$81)*'Study Information &amp; rates'!$B$28)+(SUMIF('Per patient Arm 1'!$BO$55:$BO$80,Y31,'Per patient Arm 1'!$AU$55:$AU$80)*'Study Information &amp; rates'!$B$27)+(SUMIF('Per patient Arm 3'!$BO$56:$BO$81,Y31,'Per patient Arm 3'!$AV$56:$AV$81)*'Study Information &amp; rates'!$B$29)+(SUMIF('Per patient Arm 4'!$BO$56:$BO$81,Y31,'Per patient Arm 4'!$AV$56:$AV$81)*'Study Information &amp; rates'!$B$30)+(SUMIF('Per patient Arm 5'!$BO$56:$BO$81,Y31,'Per patient Arm 5'!$AV$56:$AV$81)*'Study Information &amp; rates'!$B$31)</f>
        <v>0</v>
      </c>
      <c r="H31" s="912">
        <f>(SUMIF('Per patient Arm 2'!$BO$56:$BO$81,Z31,'Per patient Arm 2'!$AV$56:$AV$81)*'Study Information &amp; rates'!$B$28)+(SUMIF('Per patient Arm 1'!$BO$55:$BO$80,Z31,'Per patient Arm 1'!$AU$55:$AU$80)*'Study Information &amp; rates'!$B$27)+(SUMIF('Per patient Arm 3'!$BO$56:$BO$81,Z31,'Per patient Arm 3'!$AV$56:$AV$81)*'Study Information &amp; rates'!$B$29)+(SUMIF('Per patient Arm 4'!$BO$56:$BO$81,Z31,'Per patient Arm 4'!$AV$56:$AV$81)*'Study Information &amp; rates'!$B$30)+(SUMIF('Per patient Arm 5'!$BO$56:$BO$81,Z31,'Per patient Arm 5'!$AV$56:$AV$81)*'Study Information &amp; rates'!$B$31)</f>
        <v>0</v>
      </c>
      <c r="I31" s="913">
        <f>SUM(D31:H31)</f>
        <v>0</v>
      </c>
      <c r="J31" s="833"/>
      <c r="K31" s="898"/>
      <c r="L31" s="898"/>
      <c r="M31" s="833"/>
      <c r="N31" s="833"/>
      <c r="O31" s="833"/>
      <c r="P31" s="833"/>
      <c r="Q31" s="833"/>
      <c r="R31" s="833"/>
      <c r="S31" s="833"/>
      <c r="T31" s="833"/>
      <c r="U31" s="833"/>
      <c r="V31" s="833" t="str">
        <f>A31&amp;'Look Up'!$A$5</f>
        <v>Other support functions CostsService Support Cost</v>
      </c>
      <c r="W31" s="833" t="str">
        <f>A31&amp;'Look Up'!$A$6</f>
        <v>Other support functions CostsResearch Cost A</v>
      </c>
      <c r="X31" s="833" t="str">
        <f>A31&amp;'Look Up'!$A$7</f>
        <v>Other support functions CostsResearch Cost B</v>
      </c>
      <c r="Y31" s="833" t="str">
        <f>A31&amp;'Look Up'!$A$8</f>
        <v>Other support functions CostsTreatment Costs</v>
      </c>
      <c r="Z31" s="833" t="str">
        <f>A31&amp;'Look Up'!$A$9</f>
        <v>Other support functions CostsExcess Treatment Costs</v>
      </c>
      <c r="AA31" s="833"/>
      <c r="AB31" s="833"/>
      <c r="AC31" s="833"/>
      <c r="AD31" s="833"/>
      <c r="AE31" s="833"/>
      <c r="AF31" s="833"/>
    </row>
    <row r="32" spans="1:32" ht="19.5" customHeight="1" thickBot="1">
      <c r="A32" s="914" t="s">
        <v>2010</v>
      </c>
      <c r="B32" s="915"/>
      <c r="C32" s="840"/>
      <c r="D32" s="908">
        <f>SUMIF('Additional Study Activities'!$Q:$Q,V32,'Additional Study Activities'!$N:$N)</f>
        <v>0</v>
      </c>
      <c r="E32" s="909">
        <f>SUMIF('Additional Study Activities'!$Q:$Q,W32,'Additional Study Activities'!$N:$N)</f>
        <v>0</v>
      </c>
      <c r="F32" s="910">
        <f>SUMIF('Additional Study Activities'!$Q:$Q,X32,'Additional Study Activities'!$N:$N)</f>
        <v>0</v>
      </c>
      <c r="G32" s="911">
        <f>SUMIF('Additional Study Activities'!$Q:$Q,Y32,'Additional Study Activities'!$N:$N)</f>
        <v>0</v>
      </c>
      <c r="H32" s="912">
        <f>SUMIF('Additional Study Activities'!$Q:$Q,Z32,'Additional Study Activities'!$N:$N)</f>
        <v>0</v>
      </c>
      <c r="I32" s="913">
        <f>SUM(D32:H32)</f>
        <v>0</v>
      </c>
      <c r="J32" s="833"/>
      <c r="K32" s="898"/>
      <c r="L32" s="898"/>
      <c r="M32" s="833"/>
      <c r="N32" s="833"/>
      <c r="O32" s="833"/>
      <c r="P32" s="833"/>
      <c r="Q32" s="833"/>
      <c r="R32" s="833"/>
      <c r="S32" s="833"/>
      <c r="T32" s="833"/>
      <c r="U32" s="833"/>
      <c r="V32" s="833" t="str">
        <f>A32&amp;'Look Up'!$A$5</f>
        <v>Additional CostsService Support Cost</v>
      </c>
      <c r="W32" s="833" t="str">
        <f>A32&amp;'Look Up'!$A$6</f>
        <v>Additional CostsResearch Cost A</v>
      </c>
      <c r="X32" s="833" t="str">
        <f>A32&amp;'Look Up'!$A$7</f>
        <v>Additional CostsResearch Cost B</v>
      </c>
      <c r="Y32" s="833" t="str">
        <f>A32&amp;'Look Up'!$A$8</f>
        <v>Additional CostsTreatment Costs</v>
      </c>
      <c r="Z32" s="833" t="str">
        <f>A32&amp;'Look Up'!$A$9</f>
        <v>Additional CostsExcess Treatment Costs</v>
      </c>
      <c r="AA32" s="833"/>
      <c r="AB32" s="833"/>
      <c r="AC32" s="833"/>
      <c r="AD32" s="833"/>
      <c r="AE32" s="833"/>
      <c r="AF32" s="833"/>
    </row>
    <row r="33" spans="1:32" ht="19.5" customHeight="1" thickBot="1">
      <c r="A33" s="899" t="s">
        <v>2141</v>
      </c>
      <c r="B33" s="915"/>
      <c r="C33" s="840"/>
      <c r="D33" s="908">
        <f>SUMIF('Additional Study Activities'!$Q:$Q,V33,'Additional Study Activities'!$N:$N)</f>
        <v>0</v>
      </c>
      <c r="E33" s="909">
        <f>SUMIF('Additional Study Activities'!$Q:$Q,W33,'Additional Study Activities'!$N:$N)</f>
        <v>0</v>
      </c>
      <c r="F33" s="910">
        <f>SUMIF('Additional Study Activities'!$Q:$Q,X33,'Additional Study Activities'!$N:$N)</f>
        <v>0</v>
      </c>
      <c r="G33" s="911">
        <f>SUMIF('Additional Study Activities'!$Q:$Q,Y33,'Additional Study Activities'!$N:$N)</f>
        <v>0</v>
      </c>
      <c r="H33" s="912">
        <f>SUMIF('Additional Study Activities'!$Q:$Q,Z33,'Additional Study Activities'!$N:$N)</f>
        <v>0</v>
      </c>
      <c r="I33" s="913">
        <f>SUM(D33:H33)</f>
        <v>0</v>
      </c>
      <c r="J33" s="833"/>
      <c r="K33" s="898"/>
      <c r="L33" s="898"/>
      <c r="M33" s="833"/>
      <c r="N33" s="833"/>
      <c r="O33" s="833"/>
      <c r="P33" s="833"/>
      <c r="Q33" s="833"/>
      <c r="R33" s="833"/>
      <c r="S33" s="833"/>
      <c r="T33" s="833"/>
      <c r="U33" s="833"/>
      <c r="V33" s="833" t="str">
        <f>A33&amp;'Look Up'!$A$5</f>
        <v>Adhoc costsService Support Cost</v>
      </c>
      <c r="W33" s="833" t="str">
        <f>A33&amp;'Look Up'!$A$6</f>
        <v>Adhoc costsResearch Cost A</v>
      </c>
      <c r="X33" s="833" t="str">
        <f>A33&amp;'Look Up'!$A$7</f>
        <v>Adhoc costsResearch Cost B</v>
      </c>
      <c r="Y33" s="833" t="str">
        <f>A33&amp;'Look Up'!$A$8</f>
        <v>Adhoc costsTreatment Costs</v>
      </c>
      <c r="Z33" s="833" t="str">
        <f>A33&amp;'Look Up'!$A$9</f>
        <v>Adhoc costsExcess Treatment Costs</v>
      </c>
      <c r="AA33" s="833"/>
      <c r="AB33" s="833"/>
      <c r="AC33" s="833"/>
      <c r="AD33" s="833"/>
      <c r="AE33" s="833"/>
      <c r="AF33" s="833"/>
    </row>
    <row r="34" spans="1:32" ht="19.5" customHeight="1" thickBot="1">
      <c r="A34" s="916" t="s">
        <v>2458</v>
      </c>
      <c r="B34" s="917">
        <v>700001</v>
      </c>
      <c r="C34" s="840"/>
      <c r="D34" s="918"/>
      <c r="E34" s="919">
        <f>(IF(B122="No",0,(IF(B122="Yes",Nope1*'Study Information &amp; rates'!B28+Nope2*'Study Information &amp; rates'!B27+Nope3*'Study Information &amp; rates'!B29+Nope4*'Study Information &amp; rates'!B30+Nope5*'Study Information &amp; rates'!B31,0))))*'Set-up and other costs'!B18</f>
        <v>0</v>
      </c>
      <c r="F34" s="920"/>
      <c r="G34" s="921"/>
      <c r="H34" s="922"/>
      <c r="I34" s="913">
        <f>SUM(D34:H34)</f>
        <v>0</v>
      </c>
      <c r="J34" s="833"/>
      <c r="K34" s="898"/>
      <c r="L34" s="898"/>
      <c r="M34" s="833"/>
      <c r="N34" s="833"/>
      <c r="O34" s="833"/>
      <c r="P34" s="833"/>
      <c r="Q34" s="833"/>
      <c r="R34" s="833"/>
      <c r="S34" s="833"/>
      <c r="T34" s="833"/>
      <c r="U34" s="833"/>
      <c r="V34" s="833" t="str">
        <f>A34&amp;'Look Up'!$A$5</f>
        <v>Indirect cost e.g (overheads)Service Support Cost</v>
      </c>
      <c r="W34" s="833" t="str">
        <f>A34&amp;'Look Up'!$A$6</f>
        <v>Indirect cost e.g (overheads)Research Cost A</v>
      </c>
      <c r="X34" s="833" t="str">
        <f>A34&amp;'Look Up'!$A$7</f>
        <v>Indirect cost e.g (overheads)Research Cost B</v>
      </c>
      <c r="Y34" s="833" t="str">
        <f>A34&amp;'Look Up'!$A$8</f>
        <v>Indirect cost e.g (overheads)Treatment Costs</v>
      </c>
      <c r="Z34" s="833" t="str">
        <f>A34&amp;'Look Up'!$A$9</f>
        <v>Indirect cost e.g (overheads)Excess Treatment Costs</v>
      </c>
      <c r="AA34" s="833"/>
      <c r="AB34" s="833"/>
      <c r="AC34" s="833"/>
      <c r="AD34" s="833"/>
      <c r="AE34" s="833"/>
      <c r="AF34" s="833"/>
    </row>
    <row r="35" spans="1:32" ht="19.5" customHeight="1" thickBot="1">
      <c r="A35" s="916" t="s">
        <v>2473</v>
      </c>
      <c r="B35" s="917">
        <v>701716</v>
      </c>
      <c r="C35" s="840"/>
      <c r="D35" s="918"/>
      <c r="E35" s="919">
        <f>'Set-up and other costs'!C5+'Set-up and other costs'!C4</f>
        <v>500</v>
      </c>
      <c r="F35" s="920"/>
      <c r="G35" s="921"/>
      <c r="H35" s="922"/>
      <c r="I35" s="913">
        <f>SUM(D35:H35)</f>
        <v>500</v>
      </c>
      <c r="J35" s="833"/>
      <c r="K35" s="898"/>
      <c r="L35" s="898"/>
      <c r="M35" s="833"/>
      <c r="N35" s="833"/>
      <c r="O35" s="833"/>
      <c r="P35" s="833"/>
      <c r="Q35" s="833"/>
      <c r="R35" s="833"/>
      <c r="S35" s="833"/>
      <c r="T35" s="833"/>
      <c r="U35" s="833"/>
      <c r="V35" s="833" t="str">
        <f>A35&amp;'Look Up'!$A$5</f>
        <v>Sponsorship Fee or R&amp;D management fee, as applicableService Support Cost</v>
      </c>
      <c r="W35" s="833" t="str">
        <f>A35&amp;'Look Up'!$A$6</f>
        <v>Sponsorship Fee or R&amp;D management fee, as applicableResearch Cost A</v>
      </c>
      <c r="X35" s="833" t="str">
        <f>A35&amp;'Look Up'!$A$7</f>
        <v>Sponsorship Fee or R&amp;D management fee, as applicableResearch Cost B</v>
      </c>
      <c r="Y35" s="833" t="str">
        <f>A35&amp;'Look Up'!$A$8</f>
        <v>Sponsorship Fee or R&amp;D management fee, as applicableTreatment Costs</v>
      </c>
      <c r="Z35" s="833" t="str">
        <f>A35&amp;'Look Up'!$A$9</f>
        <v>Sponsorship Fee or R&amp;D management fee, as applicableExcess Treatment Costs</v>
      </c>
      <c r="AA35" s="833"/>
      <c r="AB35" s="833"/>
      <c r="AC35" s="833"/>
      <c r="AD35" s="833"/>
      <c r="AE35" s="833"/>
      <c r="AF35" s="833"/>
    </row>
    <row r="36" spans="1:32" ht="19.5" customHeight="1" thickBot="1">
      <c r="A36" s="916" t="s">
        <v>2410</v>
      </c>
      <c r="B36" s="917">
        <v>700040</v>
      </c>
      <c r="C36" s="840"/>
      <c r="D36" s="918"/>
      <c r="E36" s="919">
        <f>'Set-up and other costs'!C6</f>
        <v>0</v>
      </c>
      <c r="F36" s="920"/>
      <c r="G36" s="921"/>
      <c r="H36" s="922"/>
      <c r="I36" s="913">
        <f>SUM(D36:H36)</f>
        <v>0</v>
      </c>
      <c r="J36" s="833"/>
      <c r="K36" s="898"/>
      <c r="L36" s="898"/>
      <c r="M36" s="833"/>
      <c r="N36" s="833"/>
      <c r="O36" s="833"/>
      <c r="P36" s="833"/>
      <c r="Q36" s="833"/>
      <c r="R36" s="833"/>
      <c r="S36" s="833"/>
      <c r="T36" s="833"/>
      <c r="U36" s="833"/>
      <c r="V36" s="833" t="str">
        <f>A36&amp;'Look Up'!$A$5</f>
        <v>ArchivingService Support Cost</v>
      </c>
      <c r="W36" s="833" t="str">
        <f>A36&amp;'Look Up'!$A$6</f>
        <v>ArchivingResearch Cost A</v>
      </c>
      <c r="X36" s="833" t="str">
        <f>A36&amp;'Look Up'!$A$7</f>
        <v>ArchivingResearch Cost B</v>
      </c>
      <c r="Y36" s="833" t="str">
        <f>A36&amp;'Look Up'!$A$8</f>
        <v>ArchivingTreatment Costs</v>
      </c>
      <c r="Z36" s="833" t="str">
        <f>A36&amp;'Look Up'!$A$9</f>
        <v>ArchivingExcess Treatment Costs</v>
      </c>
      <c r="AA36" s="833"/>
      <c r="AB36" s="833"/>
      <c r="AC36" s="833"/>
      <c r="AD36" s="833"/>
      <c r="AE36" s="833"/>
      <c r="AF36" s="833"/>
    </row>
    <row r="37" spans="1:32" ht="19.5" customHeight="1" thickBot="1">
      <c r="A37" s="923"/>
      <c r="B37" s="924"/>
      <c r="C37" s="925" t="s">
        <v>2459</v>
      </c>
      <c r="D37" s="926"/>
      <c r="E37" s="926"/>
      <c r="F37" s="926"/>
      <c r="G37" s="926"/>
      <c r="H37" s="926"/>
      <c r="I37" s="927"/>
      <c r="J37" s="833"/>
      <c r="K37" s="833"/>
      <c r="L37" s="833"/>
      <c r="M37" s="833"/>
      <c r="N37" s="833"/>
      <c r="O37" s="833"/>
      <c r="P37" s="833"/>
      <c r="Q37" s="833"/>
      <c r="R37" s="833"/>
      <c r="S37" s="833"/>
      <c r="T37" s="833"/>
      <c r="U37" s="833"/>
      <c r="V37" s="833"/>
      <c r="W37" s="833"/>
      <c r="X37" s="833"/>
      <c r="Y37" s="833"/>
      <c r="Z37" s="833"/>
      <c r="AA37" s="833"/>
      <c r="AB37" s="833"/>
      <c r="AC37" s="833"/>
      <c r="AD37" s="833"/>
      <c r="AE37" s="833"/>
      <c r="AF37" s="833"/>
    </row>
    <row r="38" spans="1:32" ht="19.5" customHeight="1" thickBot="1">
      <c r="A38" s="928" t="s">
        <v>2196</v>
      </c>
      <c r="B38" s="923"/>
      <c r="C38" s="848">
        <f>SUM('UHS Individual cost'!I3:I9,'UHS Individual cost'!I13:I18,'UHS Individual cost'!I22:I26)</f>
        <v>0</v>
      </c>
      <c r="D38" s="929">
        <f>SUM('UHS Individual cost'!M3:M9,'UHS Individual cost'!M13:M18,'UHS Individual cost'!M22:M26)</f>
        <v>0</v>
      </c>
      <c r="E38" s="930">
        <f>SUM('UHS Individual cost'!K3:K9,'UHS Individual cost'!K13:K18,'UHS Individual cost'!K22:K26)</f>
        <v>0</v>
      </c>
      <c r="F38" s="931">
        <f>SUM('UHS Individual cost'!L3:L9,'UHS Individual cost'!L13:L18,'UHS Individual cost'!L22:L26)</f>
        <v>0</v>
      </c>
      <c r="G38" s="932">
        <f>SUM('UHS Individual cost'!N3:N9,'UHS Individual cost'!N13:N18,'UHS Individual cost'!N22:N26)</f>
        <v>0</v>
      </c>
      <c r="H38" s="933">
        <f>SUM('UHS Individual cost'!O3:O9,'UHS Individual cost'!O13:O18,'UHS Individual cost'!O22:O26)</f>
        <v>0</v>
      </c>
      <c r="I38" s="913">
        <f>SUM(C38:H38)</f>
        <v>0</v>
      </c>
      <c r="J38" s="833"/>
      <c r="K38" s="833"/>
      <c r="L38" s="833"/>
      <c r="M38" s="833"/>
      <c r="N38" s="833"/>
      <c r="O38" s="833"/>
      <c r="P38" s="833"/>
      <c r="Q38" s="833"/>
      <c r="R38" s="833"/>
      <c r="S38" s="833"/>
      <c r="T38" s="833"/>
      <c r="U38" s="833"/>
      <c r="V38" s="833"/>
      <c r="W38" s="833"/>
      <c r="X38" s="833"/>
      <c r="Y38" s="833"/>
      <c r="Z38" s="833"/>
      <c r="AA38" s="833"/>
      <c r="AB38" s="833"/>
      <c r="AC38" s="833"/>
      <c r="AD38" s="833"/>
      <c r="AE38" s="833"/>
      <c r="AF38" s="833"/>
    </row>
    <row r="39" spans="1:32" ht="19.5" customHeight="1" thickBot="1">
      <c r="A39" s="934" t="s">
        <v>2241</v>
      </c>
      <c r="B39" s="848"/>
      <c r="C39" s="840"/>
      <c r="D39" s="908">
        <f>SUM('UHS Individual cost'!M31:M40)</f>
        <v>0</v>
      </c>
      <c r="E39" s="909">
        <f>SUM('UHS Individual cost'!K31:K40)</f>
        <v>0</v>
      </c>
      <c r="F39" s="910">
        <f>SUM('UHS Individual cost'!L31:L40)</f>
        <v>0</v>
      </c>
      <c r="G39" s="911">
        <f>SUM('UHS Individual cost'!N31:N40)</f>
        <v>0</v>
      </c>
      <c r="H39" s="912">
        <f>SUM('UHS Individual cost'!O31:O40)</f>
        <v>0</v>
      </c>
      <c r="I39" s="913">
        <f>SUM(D39:H39)</f>
        <v>0</v>
      </c>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row>
    <row r="40" spans="1:32" ht="19.5" customHeight="1" thickBot="1">
      <c r="A40" s="861" t="s">
        <v>2197</v>
      </c>
      <c r="B40" s="935"/>
      <c r="C40" s="840"/>
      <c r="D40" s="918">
        <f>SUM('UHS Individual cost'!M46:M50,'UHS Individual cost'!M52:M56,'UHS Individual cost'!M58:M62,'UHS Individual cost'!M64:M71)+'UHS Individual cost'!C88+'UHS Individual cost'!C87</f>
        <v>0</v>
      </c>
      <c r="E40" s="919">
        <f>SUM('UHS Individual cost'!K46:K50,'UHS Individual cost'!K52:K56,'UHS Individual cost'!K58:K62,'UHS Individual cost'!K64:K71)+'UHS Individual cost'!A88+'UHS Individual cost'!A87</f>
        <v>0</v>
      </c>
      <c r="F40" s="920">
        <f>SUM('UHS Individual cost'!L46:L50,'UHS Individual cost'!L52:L56,'UHS Individual cost'!L58:L62,'UHS Individual cost'!L64:L71)+'UHS Individual cost'!B88+'UHS Individual cost'!B87</f>
        <v>0</v>
      </c>
      <c r="G40" s="936">
        <f>SUM('UHS Individual cost'!N46:N50,'UHS Individual cost'!N52:N56,'UHS Individual cost'!N58:N62,'UHS Individual cost'!N64:N71)+'UHS Individual cost'!D88+'UHS Individual cost'!D87</f>
        <v>0</v>
      </c>
      <c r="H40" s="922">
        <f>SUM('UHS Individual cost'!O46:O50,'UHS Individual cost'!O52:O56,'UHS Individual cost'!O58:O62,'UHS Individual cost'!O64:O71)+'UHS Individual cost'!E88+'UHS Individual cost'!E87</f>
        <v>0</v>
      </c>
      <c r="I40" s="937">
        <f>SUM(D40:H40)</f>
        <v>0</v>
      </c>
      <c r="J40" s="938">
        <f>SUM(I38,I39,I40)</f>
        <v>0</v>
      </c>
      <c r="K40" s="833"/>
      <c r="L40" s="833"/>
      <c r="M40" s="833"/>
      <c r="N40" s="833"/>
      <c r="O40" s="833"/>
      <c r="P40" s="833"/>
      <c r="Q40" s="833"/>
      <c r="R40" s="833"/>
      <c r="S40" s="833"/>
      <c r="T40" s="833"/>
      <c r="U40" s="833"/>
      <c r="V40" s="833"/>
      <c r="W40" s="833"/>
      <c r="X40" s="833"/>
      <c r="Y40" s="833"/>
      <c r="Z40" s="833"/>
      <c r="AA40" s="833"/>
      <c r="AB40" s="833"/>
      <c r="AC40" s="833"/>
      <c r="AD40" s="833"/>
      <c r="AE40" s="833"/>
      <c r="AF40" s="833"/>
    </row>
    <row r="41" spans="1:35" ht="30.75" customHeight="1" thickBot="1">
      <c r="A41" s="939" t="s">
        <v>2338</v>
      </c>
      <c r="B41" s="939"/>
      <c r="C41" s="840"/>
      <c r="D41" s="940">
        <f>SUM(D20:D40)</f>
        <v>0</v>
      </c>
      <c r="E41" s="940">
        <f>SUM(E20:E40)</f>
        <v>500</v>
      </c>
      <c r="F41" s="940">
        <f>SUM(F20:F40)</f>
        <v>0</v>
      </c>
      <c r="G41" s="940">
        <f>SUM(G20:G40)</f>
        <v>0</v>
      </c>
      <c r="H41" s="940">
        <f>SUM(H20:H40)</f>
        <v>0</v>
      </c>
      <c r="I41" s="941">
        <f>SUM(I18:I36,I38:I40)</f>
        <v>500</v>
      </c>
      <c r="J41" s="942"/>
      <c r="K41" s="833"/>
      <c r="L41" s="943"/>
      <c r="M41" s="944"/>
      <c r="N41" s="945"/>
      <c r="O41" s="942"/>
      <c r="P41" s="942"/>
      <c r="Q41" s="946"/>
      <c r="R41" s="833"/>
      <c r="S41" s="943"/>
      <c r="T41" s="944"/>
      <c r="U41" s="944"/>
      <c r="V41" s="942"/>
      <c r="W41" s="945"/>
      <c r="X41" s="942"/>
      <c r="Y41" s="942"/>
      <c r="Z41" s="946"/>
      <c r="AA41" s="833"/>
      <c r="AB41" s="943"/>
      <c r="AC41" s="944"/>
      <c r="AD41" s="944"/>
      <c r="AE41" s="942"/>
      <c r="AF41" s="945"/>
      <c r="AG41" s="632"/>
      <c r="AH41" s="632"/>
      <c r="AI41" s="633"/>
    </row>
    <row r="42" spans="1:35" ht="19.5" customHeight="1" thickBot="1">
      <c r="A42" s="944"/>
      <c r="B42" s="944"/>
      <c r="C42" s="942"/>
      <c r="D42" s="945"/>
      <c r="E42" s="946"/>
      <c r="F42" s="833"/>
      <c r="G42" s="943"/>
      <c r="H42" s="942"/>
      <c r="I42" s="942"/>
      <c r="J42" s="942"/>
      <c r="K42" s="833"/>
      <c r="L42" s="943"/>
      <c r="M42" s="944"/>
      <c r="N42" s="945"/>
      <c r="O42" s="942"/>
      <c r="P42" s="942"/>
      <c r="Q42" s="946"/>
      <c r="R42" s="833"/>
      <c r="S42" s="943"/>
      <c r="T42" s="944"/>
      <c r="U42" s="944"/>
      <c r="V42" s="942"/>
      <c r="W42" s="945"/>
      <c r="X42" s="942"/>
      <c r="Y42" s="942"/>
      <c r="Z42" s="946"/>
      <c r="AA42" s="833"/>
      <c r="AB42" s="943"/>
      <c r="AC42" s="944"/>
      <c r="AD42" s="944"/>
      <c r="AE42" s="942"/>
      <c r="AF42" s="945"/>
      <c r="AG42" s="632"/>
      <c r="AH42" s="632"/>
      <c r="AI42" s="633"/>
    </row>
    <row r="43" spans="1:32" ht="30" customHeight="1" thickBot="1">
      <c r="A43" s="947" t="s">
        <v>2337</v>
      </c>
      <c r="B43" s="948"/>
      <c r="C43" s="840"/>
      <c r="D43" s="949"/>
      <c r="E43" s="949">
        <f>+'Set-up and other costs'!C7</f>
        <v>0</v>
      </c>
      <c r="F43" s="949"/>
      <c r="G43" s="950"/>
      <c r="H43" s="951"/>
      <c r="I43" s="952">
        <f>SUM(D43:H43)</f>
        <v>0</v>
      </c>
      <c r="J43" s="833"/>
      <c r="K43" s="898"/>
      <c r="L43" s="898"/>
      <c r="M43" s="833"/>
      <c r="N43" s="833"/>
      <c r="O43" s="833"/>
      <c r="P43" s="833"/>
      <c r="Q43" s="833"/>
      <c r="R43" s="833"/>
      <c r="S43" s="833"/>
      <c r="T43" s="833"/>
      <c r="U43" s="833"/>
      <c r="V43" s="833" t="str">
        <f>A43&amp;'Look Up'!$A$5</f>
        <v>Other institutions costService Support Cost</v>
      </c>
      <c r="W43" s="833" t="str">
        <f>A43&amp;'Look Up'!$A$6</f>
        <v>Other institutions costResearch Cost A</v>
      </c>
      <c r="X43" s="833" t="str">
        <f>A43&amp;'Look Up'!$A$7</f>
        <v>Other institutions costResearch Cost B</v>
      </c>
      <c r="Y43" s="833" t="str">
        <f>A43&amp;'Look Up'!$A$8</f>
        <v>Other institutions costTreatment Costs</v>
      </c>
      <c r="Z43" s="833" t="str">
        <f>A43&amp;'Look Up'!$A$9</f>
        <v>Other institutions costExcess Treatment Costs</v>
      </c>
      <c r="AA43" s="833"/>
      <c r="AB43" s="833"/>
      <c r="AC43" s="833"/>
      <c r="AD43" s="833"/>
      <c r="AE43" s="833"/>
      <c r="AF43" s="833"/>
    </row>
    <row r="44" spans="1:32" ht="33.75" customHeight="1" thickBot="1">
      <c r="A44" s="953" t="str">
        <f>G15</f>
        <v>Total Project cost</v>
      </c>
      <c r="B44" s="954"/>
      <c r="C44" s="955"/>
      <c r="D44" s="956">
        <f>SUM(D20:D40)</f>
        <v>0</v>
      </c>
      <c r="E44" s="956">
        <f>SUM(E20:E40,E43)</f>
        <v>500</v>
      </c>
      <c r="F44" s="956">
        <f>SUM(F20:F40,F43)</f>
        <v>0</v>
      </c>
      <c r="G44" s="956">
        <f>SUM(G20:G40,G43)</f>
        <v>0</v>
      </c>
      <c r="H44" s="956">
        <f>SUM(H20:H40,H43)</f>
        <v>0</v>
      </c>
      <c r="I44" s="957">
        <f>SUM(I20:I40)+I43</f>
        <v>500</v>
      </c>
      <c r="J44" s="833"/>
      <c r="K44" s="898">
        <f>SUM(K18:K36)</f>
        <v>0</v>
      </c>
      <c r="L44" s="898"/>
      <c r="M44" s="833"/>
      <c r="N44" s="833"/>
      <c r="O44" s="833"/>
      <c r="P44" s="833"/>
      <c r="Q44" s="833"/>
      <c r="R44" s="833"/>
      <c r="S44" s="833"/>
      <c r="T44" s="833"/>
      <c r="U44" s="833"/>
      <c r="V44" s="833"/>
      <c r="W44" s="833"/>
      <c r="X44" s="833"/>
      <c r="Y44" s="833"/>
      <c r="Z44" s="833"/>
      <c r="AA44" s="833"/>
      <c r="AB44" s="833"/>
      <c r="AC44" s="833"/>
      <c r="AD44" s="833"/>
      <c r="AE44" s="833"/>
      <c r="AF44" s="833"/>
    </row>
    <row r="45" spans="1:35" ht="14.5">
      <c r="A45" s="944"/>
      <c r="B45" s="944"/>
      <c r="C45" s="942"/>
      <c r="D45" s="945"/>
      <c r="E45" s="946"/>
      <c r="F45" s="833"/>
      <c r="G45" s="943"/>
      <c r="H45" s="942"/>
      <c r="I45" s="945"/>
      <c r="J45" s="942"/>
      <c r="K45" s="833"/>
      <c r="L45" s="943"/>
      <c r="M45" s="944"/>
      <c r="N45" s="945"/>
      <c r="O45" s="942"/>
      <c r="P45" s="942"/>
      <c r="Q45" s="946"/>
      <c r="R45" s="833"/>
      <c r="S45" s="943"/>
      <c r="T45" s="944"/>
      <c r="U45" s="944"/>
      <c r="V45" s="942"/>
      <c r="W45" s="945"/>
      <c r="X45" s="942"/>
      <c r="Y45" s="942"/>
      <c r="Z45" s="946"/>
      <c r="AA45" s="833"/>
      <c r="AB45" s="943"/>
      <c r="AC45" s="944"/>
      <c r="AD45" s="944"/>
      <c r="AE45" s="942"/>
      <c r="AF45" s="945"/>
      <c r="AG45" s="632"/>
      <c r="AH45" s="632"/>
      <c r="AI45" s="633"/>
    </row>
    <row r="46" spans="1:35" ht="15.5">
      <c r="A46" s="958" t="s">
        <v>2078</v>
      </c>
      <c r="B46" s="959" t="str">
        <f>IF(Reconciliation!B42=0,"True","False")</f>
        <v>True</v>
      </c>
      <c r="C46" s="960"/>
      <c r="D46" s="961"/>
      <c r="E46" s="946"/>
      <c r="F46" s="833"/>
      <c r="G46" s="943"/>
      <c r="H46" s="942"/>
      <c r="I46" s="945"/>
      <c r="J46" s="942"/>
      <c r="K46" s="833"/>
      <c r="L46" s="943"/>
      <c r="M46" s="944"/>
      <c r="N46" s="945"/>
      <c r="O46" s="942"/>
      <c r="P46" s="942"/>
      <c r="Q46" s="946"/>
      <c r="R46" s="833"/>
      <c r="S46" s="943"/>
      <c r="T46" s="944"/>
      <c r="U46" s="944"/>
      <c r="V46" s="942"/>
      <c r="W46" s="945"/>
      <c r="X46" s="942"/>
      <c r="Y46" s="942"/>
      <c r="Z46" s="946"/>
      <c r="AA46" s="833"/>
      <c r="AB46" s="943"/>
      <c r="AC46" s="944"/>
      <c r="AD46" s="944"/>
      <c r="AE46" s="942"/>
      <c r="AF46" s="945"/>
      <c r="AG46" s="632"/>
      <c r="AH46" s="632"/>
      <c r="AI46" s="633"/>
    </row>
    <row r="47" spans="1:35" ht="14.5">
      <c r="A47" s="630"/>
      <c r="B47" s="630"/>
      <c r="C47" s="628"/>
      <c r="D47" s="629"/>
      <c r="E47" s="626"/>
      <c r="F47" s="402"/>
      <c r="G47" s="627"/>
      <c r="H47" s="628"/>
      <c r="I47" s="629"/>
      <c r="J47" s="628"/>
      <c r="K47" s="402"/>
      <c r="L47" s="627"/>
      <c r="M47" s="630"/>
      <c r="N47" s="631"/>
      <c r="O47" s="632"/>
      <c r="P47" s="632"/>
      <c r="Q47" s="633"/>
      <c r="S47" s="634"/>
      <c r="T47" s="635"/>
      <c r="U47" s="635"/>
      <c r="V47" s="632"/>
      <c r="W47" s="631"/>
      <c r="X47" s="632"/>
      <c r="Y47" s="632"/>
      <c r="Z47" s="633"/>
      <c r="AB47" s="634"/>
      <c r="AC47" s="635"/>
      <c r="AD47" s="635"/>
      <c r="AE47" s="632"/>
      <c r="AF47" s="631"/>
      <c r="AG47" s="632"/>
      <c r="AH47" s="632"/>
      <c r="AI47" s="633"/>
    </row>
    <row r="48" spans="1:35" ht="14.5">
      <c r="A48" s="630"/>
      <c r="B48" s="630"/>
      <c r="C48" s="628"/>
      <c r="D48" s="629"/>
      <c r="E48" s="626"/>
      <c r="F48" s="402"/>
      <c r="G48" s="627"/>
      <c r="H48" s="628"/>
      <c r="I48" s="629"/>
      <c r="J48" s="628"/>
      <c r="K48" s="402"/>
      <c r="L48" s="627"/>
      <c r="M48" s="630"/>
      <c r="N48" s="631"/>
      <c r="O48" s="632"/>
      <c r="P48" s="632"/>
      <c r="Q48" s="633"/>
      <c r="S48" s="634"/>
      <c r="T48" s="635"/>
      <c r="U48" s="635"/>
      <c r="V48" s="632"/>
      <c r="W48" s="631"/>
      <c r="X48" s="632"/>
      <c r="Y48" s="632"/>
      <c r="Z48" s="633"/>
      <c r="AB48" s="634"/>
      <c r="AC48" s="635"/>
      <c r="AD48" s="635"/>
      <c r="AE48" s="632"/>
      <c r="AF48" s="631"/>
      <c r="AG48" s="632"/>
      <c r="AH48" s="632"/>
      <c r="AI48" s="633"/>
    </row>
    <row r="49" spans="1:35" ht="14.5">
      <c r="A49" s="630"/>
      <c r="B49" s="630"/>
      <c r="C49" s="628"/>
      <c r="D49" s="629"/>
      <c r="E49" s="626"/>
      <c r="F49" s="402"/>
      <c r="G49" s="627"/>
      <c r="H49" s="628"/>
      <c r="I49" s="629"/>
      <c r="J49" s="628"/>
      <c r="K49" s="402"/>
      <c r="L49" s="627"/>
      <c r="M49" s="630"/>
      <c r="N49" s="631"/>
      <c r="O49" s="632"/>
      <c r="P49" s="632"/>
      <c r="Q49" s="633"/>
      <c r="S49" s="634"/>
      <c r="T49" s="635"/>
      <c r="U49" s="635"/>
      <c r="V49" s="632"/>
      <c r="W49" s="631"/>
      <c r="X49" s="632"/>
      <c r="Y49" s="632"/>
      <c r="Z49" s="633"/>
      <c r="AB49" s="634"/>
      <c r="AC49" s="635"/>
      <c r="AD49" s="635"/>
      <c r="AE49" s="632"/>
      <c r="AF49" s="631"/>
      <c r="AG49" s="632"/>
      <c r="AH49" s="632"/>
      <c r="AI49" s="633"/>
    </row>
    <row r="50" spans="1:35" ht="14.5">
      <c r="A50" s="630"/>
      <c r="B50" s="630"/>
      <c r="C50" s="628"/>
      <c r="D50" s="629"/>
      <c r="E50" s="626"/>
      <c r="F50" s="402"/>
      <c r="G50" s="627"/>
      <c r="H50" s="628"/>
      <c r="I50" s="629"/>
      <c r="J50" s="628"/>
      <c r="K50" s="402"/>
      <c r="L50" s="627"/>
      <c r="M50" s="630"/>
      <c r="N50" s="631"/>
      <c r="O50" s="632"/>
      <c r="P50" s="632"/>
      <c r="Q50" s="633"/>
      <c r="S50" s="634"/>
      <c r="T50" s="635"/>
      <c r="U50" s="635"/>
      <c r="V50" s="632"/>
      <c r="W50" s="631"/>
      <c r="X50" s="632"/>
      <c r="Y50" s="632"/>
      <c r="Z50" s="633"/>
      <c r="AB50" s="634"/>
      <c r="AC50" s="635"/>
      <c r="AD50" s="635"/>
      <c r="AE50" s="632"/>
      <c r="AF50" s="631"/>
      <c r="AG50" s="632"/>
      <c r="AH50" s="632"/>
      <c r="AI50" s="633"/>
    </row>
    <row r="51" spans="1:35" ht="14.5">
      <c r="A51" s="630"/>
      <c r="B51" s="630"/>
      <c r="C51" s="628"/>
      <c r="D51" s="629"/>
      <c r="E51" s="626"/>
      <c r="F51" s="402"/>
      <c r="G51" s="627"/>
      <c r="H51" s="628"/>
      <c r="I51" s="629"/>
      <c r="J51" s="628"/>
      <c r="K51" s="402"/>
      <c r="L51" s="627"/>
      <c r="M51" s="630"/>
      <c r="N51" s="631"/>
      <c r="O51" s="632"/>
      <c r="P51" s="632"/>
      <c r="Q51" s="633"/>
      <c r="S51" s="634"/>
      <c r="T51" s="635"/>
      <c r="U51" s="635"/>
      <c r="V51" s="632"/>
      <c r="W51" s="631"/>
      <c r="X51" s="632"/>
      <c r="Y51" s="632"/>
      <c r="Z51" s="633"/>
      <c r="AB51" s="634"/>
      <c r="AC51" s="635"/>
      <c r="AD51" s="635"/>
      <c r="AE51" s="632"/>
      <c r="AF51" s="631"/>
      <c r="AG51" s="632"/>
      <c r="AH51" s="632"/>
      <c r="AI51" s="633"/>
    </row>
    <row r="52" spans="1:35" ht="14.5">
      <c r="A52" s="630"/>
      <c r="B52" s="630"/>
      <c r="C52" s="628"/>
      <c r="D52" s="629"/>
      <c r="E52" s="626"/>
      <c r="F52" s="402"/>
      <c r="G52" s="627"/>
      <c r="H52" s="628"/>
      <c r="I52" s="629"/>
      <c r="J52" s="628"/>
      <c r="K52" s="402"/>
      <c r="L52" s="627"/>
      <c r="M52" s="630"/>
      <c r="N52" s="631"/>
      <c r="O52" s="632"/>
      <c r="P52" s="632"/>
      <c r="Q52" s="633"/>
      <c r="S52" s="634"/>
      <c r="T52" s="635"/>
      <c r="U52" s="635"/>
      <c r="V52" s="632"/>
      <c r="W52" s="631"/>
      <c r="X52" s="632"/>
      <c r="Y52" s="632"/>
      <c r="Z52" s="633"/>
      <c r="AB52" s="634"/>
      <c r="AC52" s="635"/>
      <c r="AD52" s="635"/>
      <c r="AE52" s="632"/>
      <c r="AF52" s="631"/>
      <c r="AG52" s="632"/>
      <c r="AH52" s="632"/>
      <c r="AI52" s="633"/>
    </row>
    <row r="53" spans="1:35" ht="14.5">
      <c r="A53" s="630"/>
      <c r="B53" s="630"/>
      <c r="C53" s="628"/>
      <c r="D53" s="629"/>
      <c r="E53" s="626"/>
      <c r="F53" s="402"/>
      <c r="G53" s="627"/>
      <c r="H53" s="628"/>
      <c r="I53" s="629"/>
      <c r="J53" s="628"/>
      <c r="K53" s="402"/>
      <c r="L53" s="627"/>
      <c r="M53" s="630"/>
      <c r="N53" s="631"/>
      <c r="O53" s="632"/>
      <c r="P53" s="632"/>
      <c r="Q53" s="633"/>
      <c r="S53" s="634"/>
      <c r="T53" s="635"/>
      <c r="U53" s="635"/>
      <c r="V53" s="632"/>
      <c r="W53" s="631"/>
      <c r="X53" s="632"/>
      <c r="Y53" s="632"/>
      <c r="Z53" s="633"/>
      <c r="AB53" s="634"/>
      <c r="AC53" s="635"/>
      <c r="AD53" s="635"/>
      <c r="AE53" s="632"/>
      <c r="AF53" s="631"/>
      <c r="AG53" s="632"/>
      <c r="AH53" s="632"/>
      <c r="AI53" s="633"/>
    </row>
    <row r="54" spans="1:13">
      <c r="A54" s="402"/>
      <c r="B54" s="402"/>
      <c r="C54" s="402"/>
      <c r="D54" s="389"/>
      <c r="E54" s="636"/>
      <c r="F54" s="402"/>
      <c r="G54" s="402"/>
      <c r="H54" s="402"/>
      <c r="I54" s="402"/>
      <c r="J54" s="402"/>
      <c r="K54" s="402" t="b">
        <f>K44=C18</f>
        <v>1</v>
      </c>
      <c r="L54" s="402"/>
      <c r="M54" s="402"/>
    </row>
    <row r="55" spans="1:4" s="402" customFormat="1" ht="14" hidden="1">
      <c r="A55" s="655" t="s">
        <v>2159</v>
      </c>
      <c r="B55" s="656"/>
      <c r="D55" s="389"/>
    </row>
    <row r="56" spans="1:7" s="402" customFormat="1" ht="14" hidden="1">
      <c r="A56" s="657"/>
      <c r="B56" s="658"/>
      <c r="C56" s="658"/>
      <c r="D56" s="659"/>
      <c r="E56" s="637"/>
      <c r="F56" s="637"/>
      <c r="G56" s="637"/>
    </row>
    <row r="57" spans="1:7" s="402" customFormat="1" ht="14" hidden="1">
      <c r="A57" s="660"/>
      <c r="B57" s="661"/>
      <c r="C57" s="661"/>
      <c r="D57" s="662"/>
      <c r="E57" s="637"/>
      <c r="F57" s="637"/>
      <c r="G57" s="637"/>
    </row>
    <row r="58" spans="1:7" s="402" customFormat="1" ht="14" hidden="1">
      <c r="A58" s="660"/>
      <c r="B58" s="661"/>
      <c r="C58" s="661"/>
      <c r="D58" s="662"/>
      <c r="E58" s="637"/>
      <c r="F58" s="637"/>
      <c r="G58" s="637"/>
    </row>
    <row r="59" spans="1:7" s="402" customFormat="1" ht="14" hidden="1">
      <c r="A59" s="660"/>
      <c r="B59" s="661"/>
      <c r="C59" s="661"/>
      <c r="D59" s="662"/>
      <c r="E59" s="637"/>
      <c r="F59" s="637"/>
      <c r="G59" s="637"/>
    </row>
    <row r="60" spans="1:7" s="402" customFormat="1" ht="14" hidden="1">
      <c r="A60" s="660"/>
      <c r="B60" s="661"/>
      <c r="C60" s="661"/>
      <c r="D60" s="662"/>
      <c r="E60" s="637"/>
      <c r="F60" s="637"/>
      <c r="G60" s="637"/>
    </row>
    <row r="61" spans="1:4" s="402" customFormat="1" hidden="1">
      <c r="A61" s="663"/>
      <c r="B61" s="664"/>
      <c r="C61" s="389"/>
      <c r="D61" s="652"/>
    </row>
    <row r="62" spans="1:4" s="402" customFormat="1" hidden="1">
      <c r="A62" s="663"/>
      <c r="B62" s="389"/>
      <c r="C62" s="389"/>
      <c r="D62" s="652"/>
    </row>
    <row r="63" spans="1:4" s="402" customFormat="1" hidden="1">
      <c r="A63" s="663"/>
      <c r="B63" s="389"/>
      <c r="C63" s="389"/>
      <c r="D63" s="652"/>
    </row>
    <row r="64" spans="1:4" s="402" customFormat="1" hidden="1">
      <c r="A64" s="663"/>
      <c r="B64" s="389"/>
      <c r="C64" s="389"/>
      <c r="D64" s="652"/>
    </row>
    <row r="65" spans="1:4" s="402" customFormat="1" hidden="1">
      <c r="A65" s="663"/>
      <c r="B65" s="389"/>
      <c r="C65" s="389"/>
      <c r="D65" s="652"/>
    </row>
    <row r="66" spans="1:4" s="402" customFormat="1" hidden="1">
      <c r="A66" s="663"/>
      <c r="B66" s="389"/>
      <c r="C66" s="389"/>
      <c r="D66" s="652"/>
    </row>
    <row r="67" spans="1:4" s="402" customFormat="1" hidden="1">
      <c r="A67" s="663"/>
      <c r="B67" s="389"/>
      <c r="C67" s="389"/>
      <c r="D67" s="652"/>
    </row>
    <row r="68" spans="1:4" s="402" customFormat="1" hidden="1">
      <c r="A68" s="663"/>
      <c r="B68" s="389"/>
      <c r="C68" s="389"/>
      <c r="D68" s="652"/>
    </row>
    <row r="69" spans="1:4" s="402" customFormat="1" hidden="1">
      <c r="A69" s="663"/>
      <c r="B69" s="389"/>
      <c r="C69" s="389"/>
      <c r="D69" s="652"/>
    </row>
    <row r="70" spans="1:4" s="402" customFormat="1" hidden="1">
      <c r="A70" s="663"/>
      <c r="B70" s="389"/>
      <c r="C70" s="389"/>
      <c r="D70" s="652"/>
    </row>
    <row r="71" spans="1:4" s="402" customFormat="1" hidden="1">
      <c r="A71" s="663"/>
      <c r="B71" s="389"/>
      <c r="C71" s="389"/>
      <c r="D71" s="652"/>
    </row>
    <row r="72" spans="1:4" s="402" customFormat="1" hidden="1">
      <c r="A72" s="663"/>
      <c r="B72" s="389"/>
      <c r="C72" s="389"/>
      <c r="D72" s="652"/>
    </row>
    <row r="73" spans="1:4" s="402" customFormat="1" hidden="1">
      <c r="A73" s="663"/>
      <c r="B73" s="389"/>
      <c r="C73" s="389"/>
      <c r="D73" s="652"/>
    </row>
    <row r="74" spans="1:4" s="402" customFormat="1" hidden="1">
      <c r="A74" s="663"/>
      <c r="B74" s="389"/>
      <c r="C74" s="389"/>
      <c r="D74" s="652"/>
    </row>
    <row r="75" spans="1:4" s="402" customFormat="1" hidden="1">
      <c r="A75" s="663"/>
      <c r="B75" s="389"/>
      <c r="C75" s="389"/>
      <c r="D75" s="652"/>
    </row>
    <row r="76" spans="1:4" s="402" customFormat="1" hidden="1">
      <c r="A76" s="663"/>
      <c r="B76" s="389"/>
      <c r="C76" s="389"/>
      <c r="D76" s="652"/>
    </row>
    <row r="77" spans="1:4" s="402" customFormat="1" hidden="1">
      <c r="A77" s="663"/>
      <c r="B77" s="389"/>
      <c r="C77" s="389"/>
      <c r="D77" s="652"/>
    </row>
    <row r="78" spans="1:4" s="402" customFormat="1" hidden="1">
      <c r="A78" s="663"/>
      <c r="B78" s="389"/>
      <c r="C78" s="389"/>
      <c r="D78" s="652"/>
    </row>
    <row r="79" spans="1:28" s="402" customFormat="1" hidden="1">
      <c r="A79" s="663"/>
      <c r="B79" s="389"/>
      <c r="C79" s="389"/>
      <c r="D79" s="652"/>
      <c r="E79" s="389"/>
      <c r="F79" s="389"/>
      <c r="G79" s="389"/>
      <c r="H79" s="389"/>
      <c r="I79" s="389"/>
      <c r="J79" s="389"/>
      <c r="K79" s="389"/>
      <c r="L79" s="389"/>
      <c r="M79" s="389"/>
      <c r="N79" s="389"/>
      <c r="O79" s="389"/>
      <c r="P79" s="389"/>
      <c r="Q79" s="389"/>
      <c r="R79" s="389"/>
      <c r="S79" s="389"/>
      <c r="T79" s="389"/>
      <c r="U79" s="389"/>
      <c r="V79" s="389"/>
      <c r="W79" s="389"/>
      <c r="X79" s="389"/>
      <c r="Y79" s="389"/>
      <c r="Z79" s="389"/>
      <c r="AA79" s="389"/>
      <c r="AB79" s="389"/>
    </row>
    <row r="80" spans="1:28" s="402" customFormat="1" hidden="1">
      <c r="A80" s="663"/>
      <c r="B80" s="389"/>
      <c r="C80" s="389"/>
      <c r="D80" s="652"/>
      <c r="E80" s="389"/>
      <c r="F80" s="389"/>
      <c r="G80" s="389"/>
      <c r="H80" s="389"/>
      <c r="I80" s="389"/>
      <c r="J80" s="389"/>
      <c r="K80" s="389"/>
      <c r="L80" s="389"/>
      <c r="M80" s="389"/>
      <c r="N80" s="389"/>
      <c r="O80" s="389"/>
      <c r="P80" s="389"/>
      <c r="Q80" s="389"/>
      <c r="R80" s="389"/>
      <c r="S80" s="389"/>
      <c r="T80" s="389"/>
      <c r="U80" s="389"/>
      <c r="V80" s="389"/>
      <c r="W80" s="389"/>
      <c r="X80" s="389"/>
      <c r="Y80" s="389"/>
      <c r="Z80" s="389"/>
      <c r="AA80" s="389"/>
      <c r="AB80" s="389"/>
    </row>
    <row r="81" spans="1:28" s="402" customFormat="1" hidden="1">
      <c r="A81" s="663"/>
      <c r="B81" s="389"/>
      <c r="C81" s="389"/>
      <c r="D81" s="652"/>
      <c r="E81" s="389"/>
      <c r="F81" s="389"/>
      <c r="G81" s="389"/>
      <c r="H81" s="389"/>
      <c r="I81" s="389"/>
      <c r="J81" s="389"/>
      <c r="K81" s="389"/>
      <c r="L81" s="389"/>
      <c r="M81" s="389"/>
      <c r="N81" s="389"/>
      <c r="O81" s="389"/>
      <c r="P81" s="389"/>
      <c r="Q81" s="389"/>
      <c r="R81" s="389"/>
      <c r="S81" s="389"/>
      <c r="T81" s="389"/>
      <c r="U81" s="389"/>
      <c r="V81" s="389"/>
      <c r="W81" s="389"/>
      <c r="X81" s="389"/>
      <c r="Y81" s="389"/>
      <c r="Z81" s="389"/>
      <c r="AA81" s="389"/>
      <c r="AB81" s="389"/>
    </row>
    <row r="82" spans="1:28" s="402" customFormat="1" hidden="1">
      <c r="A82" s="663"/>
      <c r="B82" s="389"/>
      <c r="C82" s="389"/>
      <c r="D82" s="652"/>
      <c r="E82" s="389"/>
      <c r="F82" s="389"/>
      <c r="G82" s="389"/>
      <c r="H82" s="389"/>
      <c r="I82" s="389"/>
      <c r="J82" s="389"/>
      <c r="K82" s="389"/>
      <c r="L82" s="389"/>
      <c r="M82" s="389"/>
      <c r="N82" s="389"/>
      <c r="O82" s="389"/>
      <c r="P82" s="389"/>
      <c r="Q82" s="389"/>
      <c r="R82" s="389"/>
      <c r="S82" s="389"/>
      <c r="T82" s="389"/>
      <c r="U82" s="389"/>
      <c r="V82" s="389"/>
      <c r="W82" s="389"/>
      <c r="X82" s="389"/>
      <c r="Y82" s="389"/>
      <c r="Z82" s="389"/>
      <c r="AA82" s="389"/>
      <c r="AB82" s="389"/>
    </row>
    <row r="83" spans="1:28" s="402" customFormat="1" hidden="1">
      <c r="A83" s="663"/>
      <c r="B83" s="389"/>
      <c r="C83" s="389"/>
      <c r="D83" s="652"/>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row>
    <row r="84" spans="1:28" s="402" customFormat="1" ht="15.5" hidden="1">
      <c r="A84" s="665"/>
      <c r="B84" s="666"/>
      <c r="C84" s="666"/>
      <c r="D84" s="667"/>
      <c r="E84" s="638"/>
      <c r="F84" s="639"/>
      <c r="G84" s="389"/>
      <c r="H84" s="389"/>
      <c r="I84" s="389"/>
      <c r="J84" s="389"/>
      <c r="K84" s="389"/>
      <c r="L84" s="389"/>
      <c r="M84" s="389"/>
      <c r="N84" s="389"/>
      <c r="O84" s="389"/>
      <c r="P84" s="389"/>
      <c r="Q84" s="389"/>
      <c r="R84" s="389"/>
      <c r="S84" s="389"/>
      <c r="T84" s="389"/>
      <c r="U84" s="389"/>
      <c r="V84" s="389"/>
      <c r="W84" s="389"/>
      <c r="X84" s="389"/>
      <c r="Y84" s="389"/>
      <c r="Z84" s="389"/>
      <c r="AA84" s="389"/>
      <c r="AB84" s="389"/>
    </row>
    <row r="85" spans="1:28" s="402" customFormat="1" hidden="1">
      <c r="A85" s="663"/>
      <c r="B85" s="389"/>
      <c r="C85" s="389"/>
      <c r="D85" s="652"/>
      <c r="E85" s="389"/>
      <c r="F85" s="389"/>
      <c r="G85" s="389"/>
      <c r="H85" s="389"/>
      <c r="I85" s="389"/>
      <c r="J85" s="389"/>
      <c r="K85" s="389"/>
      <c r="L85" s="389"/>
      <c r="M85" s="389"/>
      <c r="N85" s="389"/>
      <c r="O85" s="389"/>
      <c r="P85" s="389"/>
      <c r="Q85" s="389"/>
      <c r="R85" s="389"/>
      <c r="S85" s="389"/>
      <c r="T85" s="389"/>
      <c r="U85" s="389"/>
      <c r="V85" s="389"/>
      <c r="W85" s="389"/>
      <c r="X85" s="389"/>
      <c r="Y85" s="389"/>
      <c r="Z85" s="389"/>
      <c r="AA85" s="389"/>
      <c r="AB85" s="389"/>
    </row>
    <row r="86" spans="1:28" s="402" customFormat="1" ht="14.5" hidden="1">
      <c r="A86" s="668"/>
      <c r="B86" s="389"/>
      <c r="C86" s="389"/>
      <c r="D86" s="669"/>
      <c r="E86" s="389"/>
      <c r="F86" s="389"/>
      <c r="G86" s="389"/>
      <c r="H86" s="389"/>
      <c r="I86" s="389"/>
      <c r="J86" s="389"/>
      <c r="K86" s="389"/>
      <c r="L86" s="389"/>
      <c r="M86" s="389"/>
      <c r="N86" s="389"/>
      <c r="O86" s="389"/>
      <c r="P86" s="389"/>
      <c r="Q86" s="389"/>
      <c r="R86" s="389"/>
      <c r="S86" s="389"/>
      <c r="T86" s="389"/>
      <c r="U86" s="389"/>
      <c r="V86" s="389"/>
      <c r="W86" s="389"/>
      <c r="X86" s="389"/>
      <c r="Y86" s="389"/>
      <c r="Z86" s="389"/>
      <c r="AA86" s="389"/>
      <c r="AB86" s="389"/>
    </row>
    <row r="87" spans="1:28" s="402" customFormat="1" hidden="1">
      <c r="A87" s="663"/>
      <c r="B87" s="389"/>
      <c r="C87" s="389"/>
      <c r="D87" s="652"/>
      <c r="E87" s="389"/>
      <c r="F87" s="389"/>
      <c r="G87" s="389"/>
      <c r="H87" s="389"/>
      <c r="I87" s="389"/>
      <c r="J87" s="389"/>
      <c r="K87" s="389"/>
      <c r="L87" s="389"/>
      <c r="M87" s="389"/>
      <c r="N87" s="389"/>
      <c r="O87" s="389"/>
      <c r="P87" s="389"/>
      <c r="Q87" s="389"/>
      <c r="R87" s="389"/>
      <c r="S87" s="389"/>
      <c r="T87" s="389"/>
      <c r="U87" s="389"/>
      <c r="V87" s="389"/>
      <c r="W87" s="389"/>
      <c r="X87" s="389"/>
      <c r="Y87" s="389"/>
      <c r="Z87" s="389"/>
      <c r="AA87" s="389"/>
      <c r="AB87" s="389"/>
    </row>
    <row r="88" spans="1:28" s="402" customFormat="1" hidden="1">
      <c r="A88" s="663"/>
      <c r="B88" s="389"/>
      <c r="C88" s="389"/>
      <c r="D88" s="652"/>
      <c r="E88" s="389"/>
      <c r="F88" s="389"/>
      <c r="G88" s="389"/>
      <c r="H88" s="389"/>
      <c r="I88" s="389"/>
      <c r="J88" s="389"/>
      <c r="K88" s="389"/>
      <c r="L88" s="389"/>
      <c r="M88" s="389"/>
      <c r="N88" s="389"/>
      <c r="O88" s="389"/>
      <c r="P88" s="389"/>
      <c r="Q88" s="389"/>
      <c r="R88" s="389"/>
      <c r="S88" s="389"/>
      <c r="T88" s="389"/>
      <c r="U88" s="389"/>
      <c r="V88" s="389"/>
      <c r="W88" s="389"/>
      <c r="X88" s="389"/>
      <c r="Y88" s="389"/>
      <c r="Z88" s="389"/>
      <c r="AA88" s="389"/>
      <c r="AB88" s="389"/>
    </row>
    <row r="89" spans="1:4" s="402" customFormat="1" ht="15.5" hidden="1">
      <c r="A89" s="670"/>
      <c r="B89" s="671"/>
      <c r="C89" s="389"/>
      <c r="D89" s="652"/>
    </row>
    <row r="90" spans="1:4" s="402" customFormat="1" ht="15.5" hidden="1">
      <c r="A90" s="672"/>
      <c r="B90" s="673"/>
      <c r="C90" s="389"/>
      <c r="D90" s="674"/>
    </row>
    <row r="91" spans="1:4" s="402" customFormat="1" ht="15.5" hidden="1">
      <c r="A91" s="675"/>
      <c r="B91" s="673"/>
      <c r="C91" s="676"/>
      <c r="D91" s="652"/>
    </row>
    <row r="92" spans="1:4" s="402" customFormat="1" ht="15.5" hidden="1">
      <c r="A92" s="675"/>
      <c r="B92" s="673"/>
      <c r="C92" s="676"/>
      <c r="D92" s="652"/>
    </row>
    <row r="93" spans="1:4" s="402" customFormat="1" ht="15.5" hidden="1">
      <c r="A93" s="677"/>
      <c r="B93" s="678"/>
      <c r="C93" s="679"/>
      <c r="D93" s="654"/>
    </row>
    <row r="94" spans="1:3" s="402" customFormat="1" ht="15.5" hidden="1">
      <c r="A94" s="680"/>
      <c r="B94" s="673"/>
      <c r="C94" s="676"/>
    </row>
    <row r="95" spans="1:1" s="402" customFormat="1" hidden="1">
      <c r="A95"/>
    </row>
    <row r="96" spans="1:1" s="402" customFormat="1" ht="13" hidden="1" thickBot="1">
      <c r="A96"/>
    </row>
    <row r="97" spans="5:7" s="402" customFormat="1" hidden="1">
      <c r="E97" s="640"/>
      <c r="F97" s="641"/>
      <c r="G97" s="642"/>
    </row>
    <row r="98" spans="5:7" s="402" customFormat="1" hidden="1">
      <c r="E98" s="643" t="s">
        <v>2161</v>
      </c>
      <c r="F98" s="604" t="s">
        <v>82</v>
      </c>
      <c r="G98" s="644">
        <f>IF('Study Information &amp; rates'!B88="Yes",('Study Information &amp; rates'!$B$32*'Study Information &amp; rates'!E95),0)</f>
        <v>0</v>
      </c>
    </row>
    <row r="99" spans="5:7" s="402" customFormat="1" hidden="1">
      <c r="E99" s="645"/>
      <c r="F99" s="604" t="s">
        <v>2129</v>
      </c>
      <c r="G99" s="644">
        <f>IF('Study Information &amp; rates'!B89="Yes",('Study Information &amp; rates'!$B$32*'Study Information &amp; rates'!E96),0)</f>
        <v>0</v>
      </c>
    </row>
    <row r="100" spans="5:7" s="402" customFormat="1" hidden="1">
      <c r="E100" s="645"/>
      <c r="F100" s="604" t="s">
        <v>2130</v>
      </c>
      <c r="G100" s="644">
        <f>IF('Study Information &amp; rates'!B90="Yes",('Study Information &amp; rates'!$B$32*'Study Information &amp; rates'!E97),0)</f>
        <v>0</v>
      </c>
    </row>
    <row r="101" spans="5:7" s="402" customFormat="1" hidden="1">
      <c r="E101" s="645"/>
      <c r="F101" s="389"/>
      <c r="G101" s="646"/>
    </row>
    <row r="102" spans="5:7" s="402" customFormat="1" ht="13" hidden="1" thickBot="1">
      <c r="E102" s="647"/>
      <c r="F102" s="648"/>
      <c r="G102" s="649"/>
    </row>
    <row r="103" spans="1:1" s="402" customFormat="1" hidden="1">
      <c r="A103"/>
    </row>
    <row r="104" spans="1:1" s="402" customFormat="1" hidden="1">
      <c r="A104"/>
    </row>
    <row r="105" spans="1:1" s="402" customFormat="1" hidden="1">
      <c r="A105"/>
    </row>
    <row r="106" spans="1:1" s="402" customFormat="1" hidden="1">
      <c r="A106"/>
    </row>
    <row r="107" spans="1:1" s="402" customFormat="1" hidden="1">
      <c r="A107"/>
    </row>
    <row r="108" spans="5:12" s="402" customFormat="1" hidden="1">
      <c r="E108" s="1034" t="s">
        <v>2158</v>
      </c>
      <c r="F108" s="1035"/>
      <c r="G108" s="1035"/>
      <c r="H108" s="1035"/>
      <c r="I108" s="1035"/>
      <c r="J108" s="1035"/>
      <c r="K108" s="1035"/>
      <c r="L108" s="1036"/>
    </row>
    <row r="109" spans="1:12" s="402" customFormat="1" ht="15.5" hidden="1">
      <c r="A109" s="681" t="s">
        <v>1986</v>
      </c>
      <c r="B109" s="682"/>
      <c r="C109" s="682"/>
      <c r="E109" s="1037"/>
      <c r="F109" s="1038"/>
      <c r="G109" s="1038"/>
      <c r="H109" s="1038"/>
      <c r="I109" s="1038"/>
      <c r="J109" s="1038"/>
      <c r="K109" s="1038"/>
      <c r="L109" s="1039"/>
    </row>
    <row r="110" spans="1:12" s="402" customFormat="1" ht="15.5" hidden="1">
      <c r="A110" s="624" t="s">
        <v>1987</v>
      </c>
      <c r="B110" s="623"/>
      <c r="C110" s="623"/>
      <c r="E110" s="1037"/>
      <c r="F110" s="1038"/>
      <c r="G110" s="1038"/>
      <c r="H110" s="1038"/>
      <c r="I110" s="1038"/>
      <c r="J110" s="1038"/>
      <c r="K110" s="1038"/>
      <c r="L110" s="1039"/>
    </row>
    <row r="111" spans="1:12" s="402" customFormat="1" ht="15.5" hidden="1">
      <c r="A111" s="624" t="s">
        <v>1988</v>
      </c>
      <c r="B111" s="623">
        <f>'Study Information &amp; rates'!B8</f>
        <v>0</v>
      </c>
      <c r="C111" s="623"/>
      <c r="D111" s="682"/>
      <c r="E111" s="1037"/>
      <c r="F111" s="1038"/>
      <c r="G111" s="1038"/>
      <c r="H111" s="1038"/>
      <c r="I111" s="1038"/>
      <c r="J111" s="1038"/>
      <c r="K111" s="1038"/>
      <c r="L111" s="1039"/>
    </row>
    <row r="112" spans="1:12" s="650" customFormat="1" ht="15.75" customHeight="1" hidden="1">
      <c r="A112" s="683" t="s">
        <v>1989</v>
      </c>
      <c r="B112" s="684">
        <f>'Study Information &amp; rates'!B7</f>
        <v>0</v>
      </c>
      <c r="C112" s="684"/>
      <c r="D112" s="684"/>
      <c r="E112" s="1037"/>
      <c r="F112" s="1038"/>
      <c r="G112" s="1038"/>
      <c r="H112" s="1038"/>
      <c r="I112" s="1038"/>
      <c r="J112" s="1038"/>
      <c r="K112" s="1038"/>
      <c r="L112" s="1039"/>
    </row>
    <row r="113" spans="1:12" s="402" customFormat="1" ht="15.5" hidden="1">
      <c r="A113" s="624" t="s">
        <v>41</v>
      </c>
      <c r="B113" s="623">
        <f>'Study Information &amp; rates'!B18</f>
        <v>0</v>
      </c>
      <c r="C113" s="623"/>
      <c r="E113" s="1037"/>
      <c r="F113" s="1038"/>
      <c r="G113" s="1038"/>
      <c r="H113" s="1038"/>
      <c r="I113" s="1038"/>
      <c r="J113" s="1038"/>
      <c r="K113" s="1038"/>
      <c r="L113" s="1039"/>
    </row>
    <row r="114" spans="1:12" s="402" customFormat="1" ht="15.5" hidden="1">
      <c r="A114" s="624" t="s">
        <v>11</v>
      </c>
      <c r="B114" s="623">
        <f>'Study Information &amp; rates'!B16</f>
        <v>0</v>
      </c>
      <c r="C114" s="623"/>
      <c r="E114" s="1037"/>
      <c r="F114" s="1038"/>
      <c r="G114" s="1038"/>
      <c r="H114" s="1038"/>
      <c r="I114" s="1038"/>
      <c r="J114" s="1038"/>
      <c r="K114" s="1038"/>
      <c r="L114" s="1039"/>
    </row>
    <row r="115" spans="1:12" s="402" customFormat="1" ht="15.5" hidden="1">
      <c r="A115" s="624" t="s">
        <v>2025</v>
      </c>
      <c r="B115" s="623">
        <f>'Study Information &amp; rates'!B17</f>
        <v>0</v>
      </c>
      <c r="C115" s="623"/>
      <c r="E115" s="1037"/>
      <c r="F115" s="1038"/>
      <c r="G115" s="1038"/>
      <c r="H115" s="1038"/>
      <c r="I115" s="1038"/>
      <c r="J115" s="1038"/>
      <c r="K115" s="1038"/>
      <c r="L115" s="1039"/>
    </row>
    <row r="116" spans="1:12" s="402" customFormat="1" ht="15.5" hidden="1">
      <c r="A116" s="624" t="s">
        <v>2045</v>
      </c>
      <c r="B116" s="623">
        <f>'Study Information &amp; rates'!B19</f>
        <v>0</v>
      </c>
      <c r="C116" s="623"/>
      <c r="E116" s="1037"/>
      <c r="F116" s="1038"/>
      <c r="G116" s="1038"/>
      <c r="H116" s="1038"/>
      <c r="I116" s="1038"/>
      <c r="J116" s="1038"/>
      <c r="K116" s="1038"/>
      <c r="L116" s="1039"/>
    </row>
    <row r="117" spans="1:12" s="402" customFormat="1" ht="15.5" hidden="1">
      <c r="A117" s="624" t="s">
        <v>1990</v>
      </c>
      <c r="B117" s="623">
        <f>'Study Information &amp; rates'!B84:D84</f>
        <v>0</v>
      </c>
      <c r="C117" s="623"/>
      <c r="E117" s="1037"/>
      <c r="F117" s="1038"/>
      <c r="G117" s="1038"/>
      <c r="H117" s="1038"/>
      <c r="I117" s="1038"/>
      <c r="J117" s="1038"/>
      <c r="K117" s="1038"/>
      <c r="L117" s="1039"/>
    </row>
    <row r="118" spans="1:12" s="402" customFormat="1" ht="15.5" hidden="1">
      <c r="A118" s="624" t="s">
        <v>1991</v>
      </c>
      <c r="B118" s="685" t="str">
        <f>'Study Information &amp; rates'!B45</f>
        <v>No</v>
      </c>
      <c r="C118" s="623"/>
      <c r="E118" s="1037"/>
      <c r="F118" s="1038"/>
      <c r="G118" s="1038"/>
      <c r="H118" s="1038"/>
      <c r="I118" s="1038"/>
      <c r="J118" s="1038"/>
      <c r="K118" s="1038"/>
      <c r="L118" s="1039"/>
    </row>
    <row r="119" spans="1:12" s="402" customFormat="1" ht="15.5" hidden="1">
      <c r="A119" s="624" t="s">
        <v>1992</v>
      </c>
      <c r="B119" s="623">
        <f>'Study Information &amp; rates'!B32</f>
        <v>0</v>
      </c>
      <c r="C119" s="623"/>
      <c r="E119" s="1037"/>
      <c r="F119" s="1038"/>
      <c r="G119" s="1038"/>
      <c r="H119" s="1038"/>
      <c r="I119" s="1038"/>
      <c r="J119" s="1038"/>
      <c r="K119" s="1038"/>
      <c r="L119" s="1039"/>
    </row>
    <row r="120" spans="1:12" s="402" customFormat="1" ht="15.5" hidden="1">
      <c r="A120" s="624" t="s">
        <v>1993</v>
      </c>
      <c r="B120" s="623">
        <f>'Study Information &amp; rates'!B25</f>
        <v>0</v>
      </c>
      <c r="C120" s="623"/>
      <c r="E120" s="1037"/>
      <c r="F120" s="1038"/>
      <c r="G120" s="1038"/>
      <c r="H120" s="1038"/>
      <c r="I120" s="1038"/>
      <c r="J120" s="1038"/>
      <c r="K120" s="1038"/>
      <c r="L120" s="1039"/>
    </row>
    <row r="121" spans="1:12" s="402" customFormat="1" ht="15.5" hidden="1">
      <c r="A121" s="624" t="s">
        <v>1994</v>
      </c>
      <c r="B121" s="623">
        <f>'Study Information &amp; rates'!B24</f>
        <v>0</v>
      </c>
      <c r="C121" s="623"/>
      <c r="E121" s="1037"/>
      <c r="F121" s="1038"/>
      <c r="G121" s="1038"/>
      <c r="H121" s="1038"/>
      <c r="I121" s="1038"/>
      <c r="J121" s="1038"/>
      <c r="K121" s="1038"/>
      <c r="L121" s="1039"/>
    </row>
    <row r="122" spans="1:12" s="402" customFormat="1" ht="15.5" hidden="1">
      <c r="A122" s="624" t="s">
        <v>2077</v>
      </c>
      <c r="B122" s="623" t="str">
        <f>'Study Information &amp; rates'!B44</f>
        <v>No</v>
      </c>
      <c r="C122" s="623"/>
      <c r="E122" s="1037"/>
      <c r="F122" s="1038"/>
      <c r="G122" s="1038"/>
      <c r="H122" s="1038"/>
      <c r="I122" s="1038"/>
      <c r="J122" s="1038"/>
      <c r="K122" s="1038"/>
      <c r="L122" s="1039"/>
    </row>
    <row r="123" spans="1:12" s="402" customFormat="1" ht="15.5" hidden="1">
      <c r="A123" s="624" t="s">
        <v>82</v>
      </c>
      <c r="B123" s="623">
        <f>'Study Information &amp; rates'!B88</f>
        <v>0</v>
      </c>
      <c r="C123" s="623"/>
      <c r="E123" s="1037"/>
      <c r="F123" s="1038"/>
      <c r="G123" s="1038"/>
      <c r="H123" s="1038"/>
      <c r="I123" s="1038"/>
      <c r="J123" s="1038"/>
      <c r="K123" s="1038"/>
      <c r="L123" s="1039"/>
    </row>
    <row r="124" spans="1:12" s="402" customFormat="1" ht="15.5" hidden="1">
      <c r="A124" s="624" t="s">
        <v>2129</v>
      </c>
      <c r="B124" s="623">
        <f>'Study Information &amp; rates'!B89</f>
        <v>0</v>
      </c>
      <c r="C124" s="623"/>
      <c r="E124" s="1037"/>
      <c r="F124" s="1038"/>
      <c r="G124" s="1038"/>
      <c r="H124" s="1038"/>
      <c r="I124" s="1038"/>
      <c r="J124" s="1038"/>
      <c r="K124" s="1038"/>
      <c r="L124" s="1039"/>
    </row>
    <row r="125" spans="1:12" s="402" customFormat="1" ht="15.5" hidden="1">
      <c r="A125" s="624" t="s">
        <v>2130</v>
      </c>
      <c r="B125" s="623">
        <f>'Study Information &amp; rates'!B90</f>
        <v>0</v>
      </c>
      <c r="C125" s="623"/>
      <c r="E125" s="1037"/>
      <c r="F125" s="1038"/>
      <c r="G125" s="1038"/>
      <c r="H125" s="1038"/>
      <c r="I125" s="1038"/>
      <c r="J125" s="1038"/>
      <c r="K125" s="1038"/>
      <c r="L125" s="1039"/>
    </row>
    <row r="126" spans="1:12" s="402" customFormat="1" ht="15.5" hidden="1">
      <c r="A126" s="791" t="s">
        <v>2120</v>
      </c>
      <c r="B126" s="792" t="str">
        <f>'Study Information &amp; rates'!B43</f>
        <v>Exempt </v>
      </c>
      <c r="C126" s="792">
        <f>IF(B126="Standard Rate",I44*20%,0)</f>
        <v>0</v>
      </c>
      <c r="D126" s="793">
        <f>IF(B126="Reduced Rate",I44*5%,0)</f>
        <v>0</v>
      </c>
      <c r="E126" s="1037"/>
      <c r="F126" s="1038"/>
      <c r="G126" s="1038"/>
      <c r="H126" s="1038"/>
      <c r="I126" s="1038"/>
      <c r="J126" s="1038"/>
      <c r="K126" s="1038"/>
      <c r="L126" s="1039"/>
    </row>
    <row r="127" spans="1:12" s="402" customFormat="1" ht="15.5" hidden="1">
      <c r="A127" s="624" t="s">
        <v>1995</v>
      </c>
      <c r="B127" s="623"/>
      <c r="C127" s="623"/>
      <c r="E127" s="1040"/>
      <c r="F127" s="1041"/>
      <c r="G127" s="1041"/>
      <c r="H127" s="1041"/>
      <c r="I127" s="1041"/>
      <c r="J127" s="1041"/>
      <c r="K127" s="1041"/>
      <c r="L127" s="1042"/>
    </row>
    <row r="128" spans="1:3" s="402" customFormat="1" ht="15.5" hidden="1">
      <c r="A128" s="624" t="s">
        <v>1996</v>
      </c>
      <c r="B128" s="623"/>
      <c r="C128" s="623"/>
    </row>
    <row r="129" spans="1:1" s="402" customFormat="1" hidden="1">
      <c r="A129"/>
    </row>
    <row r="130" spans="1:12" s="402" customFormat="1" ht="15.5" hidden="1">
      <c r="A130" s="686" t="s">
        <v>1998</v>
      </c>
      <c r="B130" s="687">
        <f>'Study Information &amp; rates'!I100</f>
        <v>0</v>
      </c>
      <c r="C130" s="687"/>
      <c r="D130" s="687"/>
      <c r="E130" s="389"/>
      <c r="F130" s="389"/>
      <c r="G130" s="389"/>
      <c r="K130" s="651"/>
      <c r="L130" s="652"/>
    </row>
    <row r="131" spans="1:12" s="402" customFormat="1" ht="15.5" hidden="1">
      <c r="A131" s="624" t="s">
        <v>1999</v>
      </c>
      <c r="B131" s="623">
        <f>IFERROR(VLOOKUP(B130,Position,2,FALSE),0)</f>
        <v>0</v>
      </c>
      <c r="C131" s="623"/>
      <c r="D131" s="623"/>
      <c r="E131" s="389"/>
      <c r="F131" s="389"/>
      <c r="G131" s="389"/>
      <c r="K131" s="653"/>
      <c r="L131" s="654"/>
    </row>
    <row r="132" spans="1:7" s="402" customFormat="1" ht="15.5" hidden="1">
      <c r="A132" s="624" t="s">
        <v>2000</v>
      </c>
      <c r="B132" s="688">
        <f>'Study Information &amp; rates'!I52</f>
        <v>0</v>
      </c>
      <c r="C132" s="688"/>
      <c r="D132" s="688"/>
      <c r="E132" s="389"/>
      <c r="F132" s="389"/>
      <c r="G132" s="389"/>
    </row>
    <row r="133" spans="1:1" hidden="1">
      <c r="A133"/>
    </row>
  </sheetData>
  <sheetProtection algorithmName="SHA-512" hashValue="TQaBTAwaBl5v8/XMeTUuctENZ4UAxizjTv/VY6nH9MWmYLVkNwHBWz4s9mEP9Dpr1mQGSqvFMKu2B3kDxbSDgg==" saltValue="E2KtM8emD16BRUmoyNM4oQ==" spinCount="100000" sheet="1" objects="1" scenarios="1"/>
  <mergeCells count="4">
    <mergeCell ref="K16:L16"/>
    <mergeCell ref="E108:L127"/>
    <mergeCell ref="B2:C2"/>
    <mergeCell ref="D11:F11"/>
  </mergeCells>
  <conditionalFormatting sqref="D86">
    <cfRule type="cellIs" dxfId="63" operator="lessThan" priority="4">
      <formula>-550</formula>
    </cfRule>
    <cfRule type="cellIs" dxfId="64" operator="lessThan" priority="5">
      <formula>0</formula>
    </cfRule>
  </conditionalFormatting>
  <conditionalFormatting sqref="B13:C13">
    <cfRule type="cellIs" dxfId="65" operator="greaterThan" priority="3">
      <formula>-550</formula>
    </cfRule>
  </conditionalFormatting>
  <conditionalFormatting sqref="B46">
    <cfRule type="containsText" dxfId="66" operator="containsText" text="False" priority="1">
      <formula>NOT(ISERROR(SEARCH("False",B46)))</formula>
    </cfRule>
    <cfRule type="containsText" dxfId="67" operator="containsText" text="True" priority="2">
      <formula>NOT(ISERROR(SEARCH("True",B46)))</formula>
    </cfRule>
  </conditionalFormatting>
  <pageMargins left="0.70866141732283472" right="0.70866141732283472" top="0.74803149606299213" bottom="0.74803149606299213" header="0.31496062992125984" footer="0.31496062992125984"/>
  <pageSetup paperSize="9" scale="75" fitToHeight="2" orientation="landscape"/>
  <headerFooter scaleWithDoc="1" alignWithMargins="0" differentFirst="0" differentOddEven="0"/>
  <rowBreaks count="1" manualBreakCount="1">
    <brk id="14" max="16383" man="1"/>
  </rowBreaks>
  <legacyDrawing r:id="rId2"/>
  <extLst/>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V102"/>
  <sheetViews>
    <sheetView topLeftCell="A38" zoomScale="60" view="normal" workbookViewId="0">
      <selection pane="topLeft" activeCell="T45" sqref="T45"/>
    </sheetView>
  </sheetViews>
  <sheetFormatPr defaultColWidth="9.1796875" defaultRowHeight="12.5"/>
  <cols>
    <col min="1" max="1" width="22" style="373" customWidth="1"/>
    <col min="2" max="2" width="27.140625" style="373" customWidth="1"/>
    <col min="3" max="3" width="28" style="373" customWidth="1"/>
    <col min="4" max="4" width="14.41796875" style="373" customWidth="1"/>
    <col min="5" max="5" width="14.41796875" style="373" hidden="1" customWidth="1"/>
    <col min="6" max="6" width="15.5703125" style="373" bestFit="1" customWidth="1"/>
    <col min="7" max="10" width="14.41796875" style="373" customWidth="1"/>
    <col min="11" max="15" width="14.41796875" style="373" hidden="1" customWidth="1"/>
    <col min="16" max="16" width="20.27734375" style="373" customWidth="1"/>
    <col min="17" max="17" width="9.140625" style="364" customWidth="1"/>
    <col min="18" max="21" width="13.84765625" style="364" customWidth="1"/>
    <col min="22" max="22" width="16" style="364" customWidth="1"/>
    <col min="23" max="16384" width="9.140625" style="364" customWidth="1"/>
  </cols>
  <sheetData>
    <row r="1" spans="1:22" ht="29">
      <c r="A1" s="399" t="s">
        <v>2313</v>
      </c>
      <c r="B1" s="408"/>
      <c r="C1" s="406"/>
      <c r="D1" s="782"/>
      <c r="E1" s="406"/>
      <c r="G1" s="406"/>
      <c r="H1" s="406"/>
      <c r="I1" s="765"/>
      <c r="J1" s="766" t="s">
        <v>2277</v>
      </c>
      <c r="K1" s="407"/>
      <c r="L1" s="407"/>
      <c r="M1" s="407"/>
      <c r="N1" s="407"/>
      <c r="O1" s="407"/>
      <c r="P1" s="364"/>
      <c r="R1" s="1000" t="s">
        <v>2467</v>
      </c>
      <c r="S1" s="1000"/>
      <c r="T1" s="1000"/>
      <c r="U1" s="1000"/>
      <c r="V1" s="1001"/>
    </row>
    <row r="2" spans="1:22" ht="43.5">
      <c r="A2" s="409" t="s">
        <v>2289</v>
      </c>
      <c r="B2" s="405" t="s">
        <v>2454</v>
      </c>
      <c r="C2" s="410" t="s">
        <v>1893</v>
      </c>
      <c r="D2" s="410" t="s">
        <v>2198</v>
      </c>
      <c r="E2" s="410" t="s">
        <v>2199</v>
      </c>
      <c r="F2" s="405" t="s">
        <v>2200</v>
      </c>
      <c r="G2" s="410" t="s">
        <v>2201</v>
      </c>
      <c r="H2" s="762" t="s">
        <v>2279</v>
      </c>
      <c r="I2" s="767" t="s">
        <v>1911</v>
      </c>
      <c r="J2" s="768" t="s">
        <v>2276</v>
      </c>
      <c r="K2" s="405" t="s">
        <v>2246</v>
      </c>
      <c r="L2" s="405" t="s">
        <v>2247</v>
      </c>
      <c r="M2" s="405" t="s">
        <v>2244</v>
      </c>
      <c r="N2" s="405" t="s">
        <v>2245</v>
      </c>
      <c r="O2" s="405" t="s">
        <v>1984</v>
      </c>
      <c r="P2" s="411" t="s">
        <v>2204</v>
      </c>
      <c r="Q2" s="412"/>
      <c r="R2" s="405" t="s">
        <v>2205</v>
      </c>
      <c r="S2" s="405" t="s">
        <v>2206</v>
      </c>
      <c r="T2" s="405" t="s">
        <v>2207</v>
      </c>
      <c r="U2" s="405" t="s">
        <v>2208</v>
      </c>
      <c r="V2" s="405" t="s">
        <v>50</v>
      </c>
    </row>
    <row r="3" spans="1:22" s="419" customFormat="1" ht="13.5" customHeight="1">
      <c r="A3" s="605" t="s">
        <v>2209</v>
      </c>
      <c r="B3" s="606"/>
      <c r="C3" s="606"/>
      <c r="D3" s="608"/>
      <c r="E3" s="607"/>
      <c r="F3" s="609"/>
      <c r="G3" s="609"/>
      <c r="H3" s="763"/>
      <c r="I3" s="769">
        <f>IF('Study Information &amp; rates'!$B$44="Yes",33.7%*H3,0)</f>
        <v>0</v>
      </c>
      <c r="J3" s="770">
        <f>IF('Study Information &amp; rates'!$B$44="No",'Set-up and other costs'!$B$18*'UHS Individual cost'!H3,'Set-up and other costs'!$B$18*(I3)+H3)</f>
        <v>0</v>
      </c>
      <c r="K3" s="610">
        <f>IF(P3="Research Cost A",H3,0)</f>
        <v>0</v>
      </c>
      <c r="L3" s="610">
        <f>IF(P3="Research Cost B",H3,0)</f>
        <v>0</v>
      </c>
      <c r="M3" s="610">
        <f>IF(P3="Service Support Cost",H3,0)</f>
        <v>0</v>
      </c>
      <c r="N3" s="610">
        <f>IF(P3="Treatment Cost",H3,0)</f>
        <v>0</v>
      </c>
      <c r="O3" s="610">
        <f>IF(P3="Excess Treatment Cost",H3,0)</f>
        <v>0</v>
      </c>
      <c r="P3" s="413" t="s">
        <v>2013</v>
      </c>
      <c r="Q3" s="612"/>
      <c r="R3" s="613"/>
      <c r="S3" s="613"/>
      <c r="T3" s="613"/>
      <c r="U3" s="614"/>
      <c r="V3" s="615">
        <f>SUM(R3:U3)</f>
        <v>0</v>
      </c>
    </row>
    <row r="4" spans="1:22" s="419" customFormat="1" ht="13.5" customHeight="1">
      <c r="A4" s="605" t="s">
        <v>2256</v>
      </c>
      <c r="B4" s="616"/>
      <c r="C4" s="616"/>
      <c r="D4" s="617"/>
      <c r="E4" s="618"/>
      <c r="F4" s="619"/>
      <c r="G4" s="619"/>
      <c r="H4" s="763"/>
      <c r="I4" s="769">
        <f>IF('Study Information &amp; rates'!$B$44="Yes",33.7%*H4,0)</f>
        <v>0</v>
      </c>
      <c r="J4" s="770">
        <f>IF('Study Information &amp; rates'!$B$44="No",'Set-up and other costs'!$B$18*'UHS Individual cost'!H4,'Set-up and other costs'!$B$18*(I4)+H4)</f>
        <v>0</v>
      </c>
      <c r="K4" s="610">
        <f>IF(P4="Research Cost A",H4,0)</f>
        <v>0</v>
      </c>
      <c r="L4" s="610">
        <f>IF(P4="Research Cost B",H4,0)</f>
        <v>0</v>
      </c>
      <c r="M4" s="610">
        <f>IF(P4="Service Support Cost",H4,0)</f>
        <v>0</v>
      </c>
      <c r="N4" s="610">
        <f>IF(P4="Treatment Cost",H4,0)</f>
        <v>0</v>
      </c>
      <c r="O4" s="610">
        <f>IF(P4="Excess Treatment Cost",H4,0)</f>
        <v>0</v>
      </c>
      <c r="P4" s="413" t="s">
        <v>2013</v>
      </c>
      <c r="Q4" s="612"/>
      <c r="R4" s="611"/>
      <c r="S4" s="611"/>
      <c r="T4" s="611"/>
      <c r="U4" s="611"/>
      <c r="V4" s="615">
        <f>SUM(R4:U4)</f>
        <v>0</v>
      </c>
    </row>
    <row r="5" spans="1:22" s="419" customFormat="1" ht="13.5" customHeight="1">
      <c r="A5" s="605" t="s">
        <v>2257</v>
      </c>
      <c r="B5" s="620"/>
      <c r="C5" s="620"/>
      <c r="D5" s="617"/>
      <c r="E5" s="618"/>
      <c r="F5" s="619"/>
      <c r="G5" s="619"/>
      <c r="H5" s="763"/>
      <c r="I5" s="769">
        <f>IF('Study Information &amp; rates'!$B$44="Yes",33.7%*H5,0)</f>
        <v>0</v>
      </c>
      <c r="J5" s="770">
        <f>IF('Study Information &amp; rates'!$B$44="No",'Set-up and other costs'!$B$18*'UHS Individual cost'!H5,'Set-up and other costs'!$B$18*(I5)+H5)</f>
        <v>0</v>
      </c>
      <c r="K5" s="610">
        <f>IF(P5="Research Cost A",H5,0)</f>
        <v>0</v>
      </c>
      <c r="L5" s="610">
        <f>IF(P5="Research Cost B",H5,0)</f>
        <v>0</v>
      </c>
      <c r="M5" s="610">
        <f>IF(P5="Service Support Cost",H5,0)</f>
        <v>0</v>
      </c>
      <c r="N5" s="610">
        <f>IF(P5="Treatment Cost",H5,0)</f>
        <v>0</v>
      </c>
      <c r="O5" s="610">
        <f>IF(P5="Excess Treatment Cost",H5,0)</f>
        <v>0</v>
      </c>
      <c r="P5" s="413"/>
      <c r="Q5" s="612"/>
      <c r="R5" s="611"/>
      <c r="S5" s="611"/>
      <c r="T5" s="611"/>
      <c r="U5" s="611"/>
      <c r="V5" s="615">
        <f>SUM(R5:U5)</f>
        <v>0</v>
      </c>
    </row>
    <row r="6" spans="1:22" s="419" customFormat="1" ht="13.5" customHeight="1">
      <c r="A6" s="605"/>
      <c r="B6" s="620"/>
      <c r="C6" s="620"/>
      <c r="D6" s="617"/>
      <c r="E6" s="618"/>
      <c r="F6" s="619"/>
      <c r="G6" s="619"/>
      <c r="H6" s="763"/>
      <c r="I6" s="769">
        <f>IF('Study Information &amp; rates'!$B$44="Yes",33.7%*H6,0)</f>
        <v>0</v>
      </c>
      <c r="J6" s="770">
        <f>IF('Study Information &amp; rates'!$B$44="No",'Set-up and other costs'!$B$18*'UHS Individual cost'!H6,'Set-up and other costs'!$B$18*(I6)+H6)</f>
        <v>0</v>
      </c>
      <c r="K6" s="610">
        <f>IF(P6="Research Cost A",H6,0)</f>
        <v>0</v>
      </c>
      <c r="L6" s="610">
        <f>IF(P6="Research Cost B",H6,0)</f>
        <v>0</v>
      </c>
      <c r="M6" s="610">
        <f>IF(P6="Service Support Cost",H6,0)</f>
        <v>0</v>
      </c>
      <c r="N6" s="610">
        <f>IF(P6="Treatment Cost",H6,0)</f>
        <v>0</v>
      </c>
      <c r="O6" s="610">
        <f>IF(P6="Excess Treatment Cost",H6,0)</f>
        <v>0</v>
      </c>
      <c r="P6" s="413"/>
      <c r="Q6" s="612"/>
      <c r="R6" s="611"/>
      <c r="S6" s="611"/>
      <c r="T6" s="611"/>
      <c r="U6" s="611"/>
      <c r="V6" s="615">
        <f>SUM(R6:U6)</f>
        <v>0</v>
      </c>
    </row>
    <row r="7" spans="1:22" s="419" customFormat="1" ht="13.5" customHeight="1">
      <c r="A7" s="605"/>
      <c r="B7" s="620"/>
      <c r="C7" s="620"/>
      <c r="D7" s="617"/>
      <c r="E7" s="618"/>
      <c r="F7" s="619"/>
      <c r="G7" s="619"/>
      <c r="H7" s="763"/>
      <c r="I7" s="769">
        <f>IF('Study Information &amp; rates'!$B$44="Yes",33.7%*H7,0)</f>
        <v>0</v>
      </c>
      <c r="J7" s="770">
        <f>IF('Study Information &amp; rates'!$B$44="No",'Set-up and other costs'!$B$18*'UHS Individual cost'!H7,'Set-up and other costs'!$B$18*(I7)+H7)</f>
        <v>0</v>
      </c>
      <c r="K7" s="610">
        <f>IF(P7="Research Cost A",H7,0)</f>
        <v>0</v>
      </c>
      <c r="L7" s="610">
        <f>IF(P7="Research Cost B",H7,0)</f>
        <v>0</v>
      </c>
      <c r="M7" s="610">
        <f>IF(P7="Service Support Cost",H7,0)</f>
        <v>0</v>
      </c>
      <c r="N7" s="610">
        <f>IF(P7="Treatment Cost",H7,0)</f>
        <v>0</v>
      </c>
      <c r="O7" s="610">
        <f>IF(P7="Excess Treatment Cost",H7,0)</f>
        <v>0</v>
      </c>
      <c r="P7" s="413"/>
      <c r="Q7" s="621"/>
      <c r="R7" s="622"/>
      <c r="S7" s="611"/>
      <c r="T7" s="611"/>
      <c r="U7" s="611"/>
      <c r="V7" s="615">
        <f>SUM(R7:U7)</f>
        <v>0</v>
      </c>
    </row>
    <row r="8" spans="1:22" s="419" customFormat="1" ht="13.5" customHeight="1">
      <c r="A8" s="605" t="s">
        <v>2269</v>
      </c>
      <c r="B8" s="620"/>
      <c r="C8" s="620"/>
      <c r="D8" s="617"/>
      <c r="E8" s="618"/>
      <c r="F8" s="619"/>
      <c r="G8" s="619"/>
      <c r="H8" s="763"/>
      <c r="I8" s="769">
        <f>IF('Study Information &amp; rates'!$B$44="Yes",33.7%*H8,0)</f>
        <v>0</v>
      </c>
      <c r="J8" s="770">
        <f>IF('Study Information &amp; rates'!$B$44="No",'Set-up and other costs'!$B$18*'UHS Individual cost'!H8,'Set-up and other costs'!$B$18*(I8)+H8)</f>
        <v>0</v>
      </c>
      <c r="K8" s="610">
        <f>IF(P8="Research Cost A",H8,0)</f>
        <v>0</v>
      </c>
      <c r="L8" s="610">
        <f>IF(P8="Research Cost B",H8,0)</f>
        <v>0</v>
      </c>
      <c r="M8" s="610">
        <f>IF(P8="Service Support Cost",H8,0)</f>
        <v>0</v>
      </c>
      <c r="N8" s="610">
        <f>IF(P8="Treatment Cost",H8,0)</f>
        <v>0</v>
      </c>
      <c r="O8" s="610">
        <f>IF(P8="Excess Treatment Cost",H8,0)</f>
        <v>0</v>
      </c>
      <c r="P8" s="413"/>
      <c r="Q8" s="621"/>
      <c r="R8" s="622"/>
      <c r="S8" s="611"/>
      <c r="T8" s="611"/>
      <c r="U8" s="611"/>
      <c r="V8" s="615">
        <f>SUM(R8:U8)</f>
        <v>0</v>
      </c>
    </row>
    <row r="9" spans="1:22" s="419" customFormat="1" ht="13.5" customHeight="1">
      <c r="A9" s="605"/>
      <c r="B9" s="620"/>
      <c r="C9" s="620"/>
      <c r="D9" s="617"/>
      <c r="E9" s="618"/>
      <c r="F9" s="619"/>
      <c r="G9" s="619"/>
      <c r="H9" s="763"/>
      <c r="I9" s="769">
        <f>IF('Study Information &amp; rates'!$B$44="Yes",33.7%*H9,0)</f>
        <v>0</v>
      </c>
      <c r="J9" s="770">
        <f>IF('Study Information &amp; rates'!$B$44="No",'Set-up and other costs'!$B$18*'UHS Individual cost'!H9,'Set-up and other costs'!$B$18*(I9)+H9)</f>
        <v>0</v>
      </c>
      <c r="K9" s="610">
        <f>IF(P9="Research Cost A",H9,0)</f>
        <v>0</v>
      </c>
      <c r="L9" s="610">
        <f>IF(P9="Research Cost B",H9,0)</f>
        <v>0</v>
      </c>
      <c r="M9" s="610">
        <f>IF(P9="Service Support Cost",H9,0)</f>
        <v>0</v>
      </c>
      <c r="N9" s="610">
        <f>IF(P9="Treatment Cost",H9,0)</f>
        <v>0</v>
      </c>
      <c r="O9" s="610">
        <f>IF(P9="Excess Treatment Cost",H9,0)</f>
        <v>0</v>
      </c>
      <c r="P9" s="413"/>
      <c r="Q9" s="621"/>
      <c r="R9" s="622"/>
      <c r="S9" s="615"/>
      <c r="T9" s="615"/>
      <c r="U9" s="615"/>
      <c r="V9" s="615">
        <f>SUM(R9:U9)</f>
        <v>0</v>
      </c>
    </row>
    <row r="10" spans="1:22" s="419" customFormat="1" ht="14.5">
      <c r="A10" s="569"/>
      <c r="B10" s="569"/>
      <c r="C10" s="569"/>
      <c r="D10" s="569"/>
      <c r="E10" s="569"/>
      <c r="F10" s="569"/>
      <c r="G10" s="569"/>
      <c r="H10" s="416"/>
      <c r="I10" s="771"/>
      <c r="J10" s="772"/>
      <c r="K10" s="403"/>
      <c r="L10" s="403"/>
      <c r="M10" s="403"/>
      <c r="N10" s="403"/>
      <c r="O10" s="403"/>
      <c r="P10" s="416"/>
      <c r="Q10" s="403"/>
      <c r="R10" s="403"/>
      <c r="S10" s="417"/>
      <c r="T10" s="417"/>
      <c r="U10" s="417"/>
      <c r="V10" s="417"/>
    </row>
    <row r="11" spans="1:22" s="419" customFormat="1" ht="14.5">
      <c r="A11" s="570" t="s">
        <v>2278</v>
      </c>
      <c r="B11" s="569"/>
      <c r="C11" s="569"/>
      <c r="D11" s="569"/>
      <c r="E11" s="569"/>
      <c r="F11" s="569"/>
      <c r="G11" s="569"/>
      <c r="H11" s="416"/>
      <c r="I11" s="771"/>
      <c r="J11" s="772"/>
      <c r="K11" s="403"/>
      <c r="L11" s="403"/>
      <c r="M11" s="403"/>
      <c r="N11" s="403"/>
      <c r="O11" s="403"/>
      <c r="P11" s="416"/>
      <c r="Q11" s="403"/>
      <c r="R11" s="403"/>
      <c r="S11" s="417"/>
      <c r="T11" s="417"/>
      <c r="U11" s="417"/>
      <c r="V11" s="417"/>
    </row>
    <row r="12" spans="1:22" s="419" customFormat="1" ht="43.5">
      <c r="A12" s="571" t="s">
        <v>2210</v>
      </c>
      <c r="B12" s="391" t="s">
        <v>2454</v>
      </c>
      <c r="C12" s="392" t="s">
        <v>1893</v>
      </c>
      <c r="D12" s="394" t="s">
        <v>2211</v>
      </c>
      <c r="E12" s="478" t="s">
        <v>2199</v>
      </c>
      <c r="F12" s="391" t="s">
        <v>2200</v>
      </c>
      <c r="G12" s="393" t="s">
        <v>2201</v>
      </c>
      <c r="H12" s="762" t="s">
        <v>2279</v>
      </c>
      <c r="I12" s="767" t="s">
        <v>1911</v>
      </c>
      <c r="J12" s="773" t="s">
        <v>2202</v>
      </c>
      <c r="K12" s="391" t="s">
        <v>2203</v>
      </c>
      <c r="L12" s="404"/>
      <c r="M12" s="404"/>
      <c r="N12" s="404"/>
      <c r="O12" s="404"/>
      <c r="P12" s="411" t="s">
        <v>2204</v>
      </c>
      <c r="Q12" s="414"/>
      <c r="R12" s="405" t="s">
        <v>2205</v>
      </c>
      <c r="S12" s="405" t="s">
        <v>2206</v>
      </c>
      <c r="T12" s="405" t="s">
        <v>2207</v>
      </c>
      <c r="U12" s="405" t="s">
        <v>2208</v>
      </c>
      <c r="V12" s="405" t="s">
        <v>50</v>
      </c>
    </row>
    <row r="13" spans="1:22" s="419" customFormat="1" ht="15" customHeight="1">
      <c r="A13" s="572" t="s">
        <v>2273</v>
      </c>
      <c r="B13" s="564"/>
      <c r="C13" s="564"/>
      <c r="D13" s="396"/>
      <c r="E13" s="567"/>
      <c r="F13" s="568"/>
      <c r="G13" s="568"/>
      <c r="H13" s="763"/>
      <c r="I13" s="769">
        <f>IF('Study Information &amp; rates'!$B$44="Yes",33.7%*H13,0)</f>
        <v>0</v>
      </c>
      <c r="J13" s="770">
        <f>IF('Study Information &amp; rates'!$B$44="No",'Set-up and other costs'!$B$18*'UHS Individual cost'!H13,'Set-up and other costs'!$B$18*(I13)+H13)</f>
        <v>0</v>
      </c>
      <c r="K13" s="610">
        <f>IF(P13="Research Cost A",H13,0)</f>
        <v>0</v>
      </c>
      <c r="L13" s="610">
        <f>IF(P13="Research Cost B",H13,0)</f>
        <v>0</v>
      </c>
      <c r="M13" s="610">
        <f>IF(P13="Service Support Cost",H13,0)</f>
        <v>0</v>
      </c>
      <c r="N13" s="610">
        <f>IF(P13="Treatment Cost",H13,0)</f>
        <v>0</v>
      </c>
      <c r="O13" s="610">
        <f>IF(P13="Excess Treatment Cost",H13,0)</f>
        <v>0</v>
      </c>
      <c r="P13" s="413"/>
      <c r="Q13" s="414"/>
      <c r="R13" s="413"/>
      <c r="S13" s="415"/>
      <c r="T13" s="415"/>
      <c r="U13" s="415"/>
      <c r="V13" s="415">
        <f>SUM(R13:U13)</f>
        <v>0</v>
      </c>
    </row>
    <row r="14" spans="1:22" s="419" customFormat="1" ht="15" customHeight="1">
      <c r="A14" s="573" t="s">
        <v>2213</v>
      </c>
      <c r="B14" s="564"/>
      <c r="C14" s="564"/>
      <c r="D14" s="397"/>
      <c r="E14" s="567"/>
      <c r="F14" s="568"/>
      <c r="G14" s="568"/>
      <c r="H14" s="763"/>
      <c r="I14" s="769">
        <f>IF('Study Information &amp; rates'!$B$44="Yes",33.7%*H14,0)</f>
        <v>0</v>
      </c>
      <c r="J14" s="770">
        <f>IF('Study Information &amp; rates'!$B$44="No",'Set-up and other costs'!$B$18*'UHS Individual cost'!H14,'Set-up and other costs'!$B$18*(I14)+H14)</f>
        <v>0</v>
      </c>
      <c r="K14" s="610">
        <f>IF(P14="Research Cost A",H14,0)</f>
        <v>0</v>
      </c>
      <c r="L14" s="610">
        <f>IF(P14="Research Cost B",H14,0)</f>
        <v>0</v>
      </c>
      <c r="M14" s="610">
        <f>IF(P14="Service Support Cost",H14,0)</f>
        <v>0</v>
      </c>
      <c r="N14" s="610">
        <f>IF(P14="Treatment Cost",H14,0)</f>
        <v>0</v>
      </c>
      <c r="O14" s="610">
        <f>IF(P14="Excess Treatment Cost",H14,0)</f>
        <v>0</v>
      </c>
      <c r="P14" s="413"/>
      <c r="Q14" s="414"/>
      <c r="R14" s="413"/>
      <c r="S14" s="415"/>
      <c r="T14" s="415"/>
      <c r="U14" s="415"/>
      <c r="V14" s="415">
        <f>SUM(R14:U14)</f>
        <v>0</v>
      </c>
    </row>
    <row r="15" spans="1:22" s="419" customFormat="1" ht="15" customHeight="1">
      <c r="A15" s="572" t="s">
        <v>2214</v>
      </c>
      <c r="B15" s="565"/>
      <c r="C15" s="564"/>
      <c r="D15" s="396"/>
      <c r="E15" s="567"/>
      <c r="F15" s="568"/>
      <c r="G15" s="568"/>
      <c r="H15" s="763"/>
      <c r="I15" s="769">
        <f>IF('Study Information &amp; rates'!$B$44="Yes",33.7%*H15,0)</f>
        <v>0</v>
      </c>
      <c r="J15" s="770">
        <f>IF('Study Information &amp; rates'!$B$44="No",'Set-up and other costs'!$B$18*'UHS Individual cost'!H15,'Set-up and other costs'!$B$18*(I15)+H15)</f>
        <v>0</v>
      </c>
      <c r="K15" s="610">
        <f>IF(P15="Research Cost A",H15,0)</f>
        <v>0</v>
      </c>
      <c r="L15" s="610">
        <f>IF(P15="Research Cost B",H15,0)</f>
        <v>0</v>
      </c>
      <c r="M15" s="610">
        <f>IF(P15="Service Support Cost",H15,0)</f>
        <v>0</v>
      </c>
      <c r="N15" s="610">
        <f>IF(P15="Treatment Cost",H15,0)</f>
        <v>0</v>
      </c>
      <c r="O15" s="610">
        <f>IF(P15="Excess Treatment Cost",H15,0)</f>
        <v>0</v>
      </c>
      <c r="P15" s="413"/>
      <c r="Q15" s="414"/>
      <c r="R15" s="413"/>
      <c r="S15" s="415"/>
      <c r="T15" s="415"/>
      <c r="U15" s="415"/>
      <c r="V15" s="415">
        <f>SUM(R15:U15)</f>
        <v>0</v>
      </c>
    </row>
    <row r="16" spans="1:22" s="419" customFormat="1" ht="15" customHeight="1">
      <c r="A16" s="572" t="s">
        <v>2215</v>
      </c>
      <c r="B16" s="565"/>
      <c r="C16" s="564"/>
      <c r="D16" s="396"/>
      <c r="E16" s="567"/>
      <c r="F16" s="568"/>
      <c r="G16" s="568"/>
      <c r="H16" s="763"/>
      <c r="I16" s="769">
        <f>IF('Study Information &amp; rates'!$B$44="Yes",33.7%*H16,0)</f>
        <v>0</v>
      </c>
      <c r="J16" s="770">
        <f>IF('Study Information &amp; rates'!$B$44="No",'Set-up and other costs'!$B$18*'UHS Individual cost'!H16,'Set-up and other costs'!$B$18*(I16)+H16)</f>
        <v>0</v>
      </c>
      <c r="K16" s="610">
        <f>IF(P16="Research Cost A",H16,0)</f>
        <v>0</v>
      </c>
      <c r="L16" s="610">
        <f>IF(P16="Research Cost B",H16,0)</f>
        <v>0</v>
      </c>
      <c r="M16" s="610">
        <f>IF(P16="Service Support Cost",H16,0)</f>
        <v>0</v>
      </c>
      <c r="N16" s="610">
        <f>IF(P16="Treatment Cost",H16,0)</f>
        <v>0</v>
      </c>
      <c r="O16" s="610">
        <f>IF(P16="Excess Treatment Cost",H16,0)</f>
        <v>0</v>
      </c>
      <c r="P16" s="413"/>
      <c r="Q16" s="414"/>
      <c r="R16" s="413"/>
      <c r="S16" s="415"/>
      <c r="T16" s="415"/>
      <c r="U16" s="415"/>
      <c r="V16" s="415">
        <f>SUM(R16:U16)</f>
        <v>0</v>
      </c>
    </row>
    <row r="17" spans="1:22" s="419" customFormat="1" ht="15" customHeight="1">
      <c r="A17" s="572" t="s">
        <v>2216</v>
      </c>
      <c r="B17" s="565"/>
      <c r="C17" s="564"/>
      <c r="D17" s="396"/>
      <c r="E17" s="567"/>
      <c r="F17" s="568"/>
      <c r="G17" s="568"/>
      <c r="H17" s="763"/>
      <c r="I17" s="769">
        <f>IF('Study Information &amp; rates'!$B$44="Yes",33.7%*H17,0)</f>
        <v>0</v>
      </c>
      <c r="J17" s="770">
        <f>IF('Study Information &amp; rates'!$B$44="No",'Set-up and other costs'!$B$18*'UHS Individual cost'!H17,'Set-up and other costs'!$B$18*(I17)+H17)</f>
        <v>0</v>
      </c>
      <c r="K17" s="610">
        <f>IF(P17="Research Cost A",H17,0)</f>
        <v>0</v>
      </c>
      <c r="L17" s="610">
        <f>IF(P17="Research Cost B",H17,0)</f>
        <v>0</v>
      </c>
      <c r="M17" s="610">
        <f>IF(P17="Service Support Cost",H17,0)</f>
        <v>0</v>
      </c>
      <c r="N17" s="610">
        <f>IF(P17="Treatment Cost",H17,0)</f>
        <v>0</v>
      </c>
      <c r="O17" s="610">
        <f>IF(P17="Excess Treatment Cost",H17,0)</f>
        <v>0</v>
      </c>
      <c r="P17" s="413"/>
      <c r="Q17" s="414"/>
      <c r="R17" s="413"/>
      <c r="S17" s="415"/>
      <c r="T17" s="415"/>
      <c r="U17" s="415"/>
      <c r="V17" s="415">
        <f>SUM(R17:U17)</f>
        <v>0</v>
      </c>
    </row>
    <row r="18" spans="1:22" s="419" customFormat="1" ht="15" customHeight="1">
      <c r="A18" s="572" t="s">
        <v>1933</v>
      </c>
      <c r="B18" s="566"/>
      <c r="C18" s="564"/>
      <c r="D18" s="396"/>
      <c r="E18" s="567"/>
      <c r="F18" s="574"/>
      <c r="G18" s="574"/>
      <c r="H18" s="763"/>
      <c r="I18" s="769">
        <f>IF('Study Information &amp; rates'!$B$44="Yes",33.7%*H18,0)</f>
        <v>0</v>
      </c>
      <c r="J18" s="770">
        <f>IF('Study Information &amp; rates'!$B$44="No",'Set-up and other costs'!$B$18*'UHS Individual cost'!H18,'Set-up and other costs'!$B$18*(I18)+H18)</f>
        <v>0</v>
      </c>
      <c r="K18" s="610">
        <f>IF(P18="Research Cost A",H18,0)</f>
        <v>0</v>
      </c>
      <c r="L18" s="610">
        <f>IF(P18="Research Cost B",H18,0)</f>
        <v>0</v>
      </c>
      <c r="M18" s="610">
        <f>IF(P18="Service Support Cost",H18,0)</f>
        <v>0</v>
      </c>
      <c r="N18" s="610">
        <f>IF(P18="Treatment Cost",H18,0)</f>
        <v>0</v>
      </c>
      <c r="O18" s="610">
        <f>IF(P18="Excess Treatment Cost",H18,0)</f>
        <v>0</v>
      </c>
      <c r="P18" s="413"/>
      <c r="Q18" s="414"/>
      <c r="R18" s="413"/>
      <c r="S18" s="415"/>
      <c r="T18" s="415"/>
      <c r="U18" s="415"/>
      <c r="V18" s="415">
        <f>SUM(R18:U18)</f>
        <v>0</v>
      </c>
    </row>
    <row r="19" spans="1:22" s="419" customFormat="1" ht="14.5">
      <c r="A19" s="575"/>
      <c r="B19" s="576"/>
      <c r="C19" s="576"/>
      <c r="D19" s="577"/>
      <c r="E19" s="577"/>
      <c r="F19" s="577"/>
      <c r="G19" s="578"/>
      <c r="H19" s="395"/>
      <c r="I19" s="774"/>
      <c r="J19" s="775"/>
      <c r="K19" s="395"/>
      <c r="L19" s="395"/>
      <c r="M19" s="395"/>
      <c r="N19" s="395"/>
      <c r="O19" s="395"/>
      <c r="P19" s="398"/>
      <c r="Q19" s="403"/>
      <c r="R19" s="398"/>
      <c r="S19" s="418"/>
      <c r="T19" s="418"/>
      <c r="U19" s="418"/>
      <c r="V19" s="418"/>
    </row>
    <row r="20" spans="1:22" s="419" customFormat="1" ht="43.5">
      <c r="A20" s="579" t="s">
        <v>2258</v>
      </c>
      <c r="B20" s="579"/>
      <c r="C20" s="579"/>
      <c r="D20" s="579"/>
      <c r="E20" s="579"/>
      <c r="F20" s="579"/>
      <c r="G20" s="579"/>
      <c r="H20" s="475"/>
      <c r="I20" s="776"/>
      <c r="J20" s="776"/>
      <c r="K20" s="475"/>
      <c r="L20" s="475"/>
      <c r="M20" s="475"/>
      <c r="N20" s="475"/>
      <c r="O20" s="475"/>
      <c r="P20" s="398"/>
      <c r="Q20" s="403"/>
      <c r="R20" s="398"/>
      <c r="S20" s="418"/>
      <c r="T20" s="418"/>
      <c r="U20" s="418"/>
      <c r="V20" s="418"/>
    </row>
    <row r="21" spans="1:22" s="419" customFormat="1" ht="43.5">
      <c r="A21" s="394" t="s">
        <v>2226</v>
      </c>
      <c r="B21" s="405" t="s">
        <v>2454</v>
      </c>
      <c r="C21" s="391" t="s">
        <v>1893</v>
      </c>
      <c r="D21" s="394" t="s">
        <v>2227</v>
      </c>
      <c r="E21" s="478" t="s">
        <v>2199</v>
      </c>
      <c r="F21" s="391" t="s">
        <v>2200</v>
      </c>
      <c r="G21" s="690" t="s">
        <v>2201</v>
      </c>
      <c r="H21" s="762" t="s">
        <v>2279</v>
      </c>
      <c r="I21" s="767" t="s">
        <v>1911</v>
      </c>
      <c r="J21" s="773" t="s">
        <v>2202</v>
      </c>
      <c r="K21" s="391" t="s">
        <v>2203</v>
      </c>
      <c r="L21" s="404"/>
      <c r="M21" s="404"/>
      <c r="N21" s="404"/>
      <c r="O21" s="404"/>
      <c r="P21" s="411" t="s">
        <v>2204</v>
      </c>
      <c r="R21" s="405" t="s">
        <v>2205</v>
      </c>
      <c r="S21" s="405" t="s">
        <v>2206</v>
      </c>
      <c r="T21" s="405" t="s">
        <v>2207</v>
      </c>
      <c r="U21" s="405" t="s">
        <v>2208</v>
      </c>
      <c r="V21" s="405" t="s">
        <v>50</v>
      </c>
    </row>
    <row r="22" spans="1:22" s="419" customFormat="1" ht="14.25" customHeight="1">
      <c r="A22" s="572" t="s">
        <v>2228</v>
      </c>
      <c r="B22" s="580"/>
      <c r="C22" s="580"/>
      <c r="D22" s="396"/>
      <c r="E22" s="567"/>
      <c r="F22" s="556"/>
      <c r="G22" s="593"/>
      <c r="H22" s="763"/>
      <c r="I22" s="769">
        <f>IF('Study Information &amp; rates'!$B$44="Yes",33.7%*H22,0)</f>
        <v>0</v>
      </c>
      <c r="J22" s="770">
        <f>IF('Study Information &amp; rates'!$B$44="No",'Set-up and other costs'!$B$18*'UHS Individual cost'!H22,'Set-up and other costs'!$B$18*(I22)+H22)</f>
        <v>0</v>
      </c>
      <c r="K22" s="610">
        <f>IF(P22="Research Cost A",H22,0)</f>
        <v>0</v>
      </c>
      <c r="L22" s="610">
        <f>IF(P22="Research Cost B",H22,0)</f>
        <v>0</v>
      </c>
      <c r="M22" s="610">
        <f>IF(P22="Service Support Cost",H22,0)</f>
        <v>0</v>
      </c>
      <c r="N22" s="610">
        <f>IF(P22="Treatment Cost",H22,0)</f>
        <v>0</v>
      </c>
      <c r="O22" s="610">
        <f>IF(P22="Excess Treatment Cost",H22,0)</f>
        <v>0</v>
      </c>
      <c r="P22" s="413"/>
      <c r="R22" s="413"/>
      <c r="S22" s="415"/>
      <c r="T22" s="415"/>
      <c r="U22" s="415"/>
      <c r="V22" s="415">
        <f>SUM(R22:U22)</f>
        <v>0</v>
      </c>
    </row>
    <row r="23" spans="1:22" s="419" customFormat="1" ht="14.25" customHeight="1">
      <c r="A23" s="572" t="s">
        <v>2229</v>
      </c>
      <c r="B23" s="580"/>
      <c r="C23" s="580"/>
      <c r="D23" s="396"/>
      <c r="E23" s="567"/>
      <c r="F23" s="556"/>
      <c r="G23" s="593"/>
      <c r="H23" s="763"/>
      <c r="I23" s="769">
        <f>IF('Study Information &amp; rates'!$B$44="Yes",33.7%*H23,0)</f>
        <v>0</v>
      </c>
      <c r="J23" s="770">
        <f>IF('Study Information &amp; rates'!$B$44="No",'Set-up and other costs'!$B$18*'UHS Individual cost'!H23,'Set-up and other costs'!$B$18*(I23)+H23)</f>
        <v>0</v>
      </c>
      <c r="K23" s="610">
        <f>IF(P23="Research Cost A",H23,0)</f>
        <v>0</v>
      </c>
      <c r="L23" s="610">
        <f>IF(P23="Research Cost B",H23,0)</f>
        <v>0</v>
      </c>
      <c r="M23" s="610">
        <f>IF(P23="Service Support Cost",H23,0)</f>
        <v>0</v>
      </c>
      <c r="N23" s="610">
        <f>IF(P23="Treatment Cost",H23,0)</f>
        <v>0</v>
      </c>
      <c r="O23" s="610">
        <f>IF(P23="Excess Treatment Cost",H23,0)</f>
        <v>0</v>
      </c>
      <c r="P23" s="413"/>
      <c r="R23" s="415"/>
      <c r="S23" s="415"/>
      <c r="T23" s="415"/>
      <c r="U23" s="415"/>
      <c r="V23" s="415">
        <f>SUM(R23:U23)</f>
        <v>0</v>
      </c>
    </row>
    <row r="24" spans="1:22" s="419" customFormat="1" ht="14.25" customHeight="1">
      <c r="A24" s="572" t="s">
        <v>2464</v>
      </c>
      <c r="B24" s="580"/>
      <c r="C24" s="580"/>
      <c r="D24" s="396"/>
      <c r="E24" s="567"/>
      <c r="F24" s="556"/>
      <c r="G24" s="593"/>
      <c r="H24" s="763"/>
      <c r="I24" s="769">
        <f>IF('Study Information &amp; rates'!$B$44="Yes",33.7%*H24,0)</f>
        <v>0</v>
      </c>
      <c r="J24" s="770">
        <f>IF('Study Information &amp; rates'!$B$44="No",'Set-up and other costs'!$B$18*'UHS Individual cost'!H24,'Set-up and other costs'!$B$18*(I24)+H24)</f>
        <v>0</v>
      </c>
      <c r="K24" s="610">
        <f>IF(P24="Research Cost A",H24,0)</f>
        <v>0</v>
      </c>
      <c r="L24" s="610">
        <f>IF(P24="Research Cost B",H24,0)</f>
        <v>0</v>
      </c>
      <c r="M24" s="610">
        <f>IF(P24="Service Support Cost",H24,0)</f>
        <v>0</v>
      </c>
      <c r="N24" s="610">
        <f>IF(P24="Treatment Cost",H24,0)</f>
        <v>0</v>
      </c>
      <c r="O24" s="610">
        <f>IF(P24="Excess Treatment Cost",H24,0)</f>
        <v>0</v>
      </c>
      <c r="P24" s="413"/>
      <c r="R24" s="415"/>
      <c r="S24" s="415"/>
      <c r="T24" s="415"/>
      <c r="U24" s="415"/>
      <c r="V24" s="415">
        <f>SUM(R24:U24)</f>
        <v>0</v>
      </c>
    </row>
    <row r="25" spans="1:22" s="419" customFormat="1" ht="14.25" customHeight="1">
      <c r="A25" s="572" t="s">
        <v>2230</v>
      </c>
      <c r="B25" s="580"/>
      <c r="C25" s="580"/>
      <c r="D25" s="396"/>
      <c r="E25" s="567"/>
      <c r="F25" s="556"/>
      <c r="G25" s="593"/>
      <c r="H25" s="763"/>
      <c r="I25" s="769">
        <f>IF('Study Information &amp; rates'!$B$44="Yes",33.7%*H25,0)</f>
        <v>0</v>
      </c>
      <c r="J25" s="770">
        <f>IF('Study Information &amp; rates'!$B$44="No",'Set-up and other costs'!$B$18*'UHS Individual cost'!H25,'Set-up and other costs'!$B$18*(I25)+H25)</f>
        <v>0</v>
      </c>
      <c r="K25" s="610">
        <f>IF(P25="Research Cost A",H25,0)</f>
        <v>0</v>
      </c>
      <c r="L25" s="610">
        <f>IF(P25="Research Cost B",H25,0)</f>
        <v>0</v>
      </c>
      <c r="M25" s="610">
        <f>IF(P25="Service Support Cost",H25,0)</f>
        <v>0</v>
      </c>
      <c r="N25" s="610">
        <f>IF(P25="Treatment Cost",H25,0)</f>
        <v>0</v>
      </c>
      <c r="O25" s="610">
        <f>IF(P25="Excess Treatment Cost",H25,0)</f>
        <v>0</v>
      </c>
      <c r="P25" s="413"/>
      <c r="R25" s="415"/>
      <c r="S25" s="415"/>
      <c r="T25" s="415"/>
      <c r="U25" s="415"/>
      <c r="V25" s="415">
        <f>SUM(R25:U25)</f>
        <v>0</v>
      </c>
    </row>
    <row r="26" spans="1:22" s="419" customFormat="1" ht="14.25" customHeight="1">
      <c r="A26" s="572"/>
      <c r="B26" s="580"/>
      <c r="C26" s="580"/>
      <c r="D26" s="396"/>
      <c r="E26" s="567"/>
      <c r="F26" s="556"/>
      <c r="G26" s="593"/>
      <c r="H26" s="763"/>
      <c r="I26" s="769">
        <f>IF('Study Information &amp; rates'!$B$44="Yes",33.7%*H26,0)</f>
        <v>0</v>
      </c>
      <c r="J26" s="770">
        <f>IF('Study Information &amp; rates'!$B$44="No",'Set-up and other costs'!$B$18*'UHS Individual cost'!H26,'Set-up and other costs'!$B$18*(I26)+H26)</f>
        <v>0</v>
      </c>
      <c r="K26" s="610">
        <f>IF(P26="Research Cost A",H26,0)</f>
        <v>0</v>
      </c>
      <c r="L26" s="610">
        <f>IF(P26="Research Cost B",H26,0)</f>
        <v>0</v>
      </c>
      <c r="M26" s="610">
        <f>IF(P26="Service Support Cost",H26,0)</f>
        <v>0</v>
      </c>
      <c r="N26" s="610">
        <f>IF(P26="Treatment Cost",H26,0)</f>
        <v>0</v>
      </c>
      <c r="O26" s="610">
        <f>IF(P26="Excess Treatment Cost",H26,0)</f>
        <v>0</v>
      </c>
      <c r="P26" s="413"/>
      <c r="R26" s="415"/>
      <c r="S26" s="415"/>
      <c r="T26" s="415"/>
      <c r="U26" s="415"/>
      <c r="V26" s="415">
        <f>SUM(R26:U26)</f>
        <v>0</v>
      </c>
    </row>
    <row r="27" spans="1:22" ht="14.5">
      <c r="A27" s="569"/>
      <c r="B27" s="569"/>
      <c r="C27" s="569"/>
      <c r="D27" s="569"/>
      <c r="E27" s="569"/>
      <c r="F27" s="569"/>
      <c r="G27" s="569"/>
      <c r="H27" s="416"/>
      <c r="I27" s="416"/>
      <c r="J27" s="403"/>
      <c r="K27" s="403"/>
      <c r="L27" s="403"/>
      <c r="M27" s="403"/>
      <c r="N27" s="403"/>
      <c r="O27" s="403"/>
      <c r="P27" s="417"/>
      <c r="Q27" s="419"/>
      <c r="R27" s="419"/>
      <c r="S27" s="419"/>
      <c r="T27" s="419"/>
      <c r="U27" s="419"/>
      <c r="V27" s="419"/>
    </row>
    <row r="28" spans="1:22" ht="29">
      <c r="A28" s="603" t="s">
        <v>2259</v>
      </c>
      <c r="B28" s="569"/>
      <c r="C28" s="569"/>
      <c r="D28" s="569"/>
      <c r="E28" s="569"/>
      <c r="F28" s="569"/>
      <c r="G28" s="569"/>
      <c r="H28" s="416"/>
      <c r="I28" s="416"/>
      <c r="J28" s="403"/>
      <c r="K28" s="403"/>
      <c r="L28" s="403"/>
      <c r="M28" s="403"/>
      <c r="N28" s="403"/>
      <c r="O28" s="403"/>
      <c r="P28" s="417"/>
      <c r="Q28" s="419"/>
      <c r="R28" s="419"/>
      <c r="S28" s="419"/>
      <c r="T28" s="419"/>
      <c r="U28" s="419"/>
      <c r="V28" s="419"/>
    </row>
    <row r="29" spans="1:22" ht="29">
      <c r="A29" s="602" t="s">
        <v>2240</v>
      </c>
      <c r="B29" s="420"/>
      <c r="C29" s="420"/>
      <c r="D29" s="412"/>
      <c r="E29" s="412"/>
      <c r="F29" s="412"/>
      <c r="G29" s="412"/>
      <c r="H29" s="403"/>
      <c r="I29" s="403"/>
      <c r="J29" s="395"/>
      <c r="K29" s="395"/>
      <c r="L29" s="395"/>
      <c r="M29" s="395"/>
      <c r="N29" s="395"/>
      <c r="O29" s="395"/>
      <c r="P29" s="398"/>
      <c r="Q29" s="403"/>
      <c r="R29" s="403"/>
      <c r="S29" s="419"/>
      <c r="T29" s="419"/>
      <c r="U29" s="419"/>
      <c r="V29" s="419"/>
    </row>
    <row r="30" spans="1:22" ht="43.5">
      <c r="A30" s="601" t="s">
        <v>2243</v>
      </c>
      <c r="B30" s="1051" t="s">
        <v>2242</v>
      </c>
      <c r="C30" s="1052"/>
      <c r="D30" s="1052"/>
      <c r="E30" s="1052"/>
      <c r="F30" s="1052"/>
      <c r="G30" s="1052"/>
      <c r="H30" s="405" t="s">
        <v>2311</v>
      </c>
      <c r="I30" s="405" t="s">
        <v>2312</v>
      </c>
      <c r="J30" s="773" t="s">
        <v>2202</v>
      </c>
      <c r="K30" s="391" t="s">
        <v>2203</v>
      </c>
      <c r="L30" s="404"/>
      <c r="M30" s="404"/>
      <c r="N30" s="404"/>
      <c r="O30" s="404"/>
      <c r="P30" s="411" t="s">
        <v>2204</v>
      </c>
      <c r="Q30" s="403"/>
      <c r="R30" s="403"/>
      <c r="S30" s="419"/>
      <c r="T30" s="419"/>
      <c r="U30" s="419"/>
      <c r="V30" s="419"/>
    </row>
    <row r="31" spans="1:22" ht="12.75" customHeight="1">
      <c r="A31" s="581" t="s">
        <v>2217</v>
      </c>
      <c r="B31" s="1049"/>
      <c r="C31" s="1050"/>
      <c r="D31" s="1050"/>
      <c r="E31" s="1050"/>
      <c r="F31" s="1050"/>
      <c r="G31" s="1050"/>
      <c r="H31" s="593"/>
      <c r="I31" s="593"/>
      <c r="J31" s="777">
        <f>'Set-up and other costs'!$B$18*('UHS Individual cost'!H31*I31)</f>
        <v>0</v>
      </c>
      <c r="K31" s="401">
        <f>IF(P31="Research Cost A",J31,0)</f>
        <v>0</v>
      </c>
      <c r="L31" s="401">
        <f>IF(P31="Research Cost B",J31,0)</f>
        <v>0</v>
      </c>
      <c r="M31" s="401">
        <f>IF(P31="Service Support Cost",J31,0)</f>
        <v>0</v>
      </c>
      <c r="N31" s="401">
        <f>IF(P31="Treatment Cost",J31,0)</f>
        <v>0</v>
      </c>
      <c r="O31" s="401">
        <f>IF(P31="Excess Treatment Cost",J31,0)</f>
        <v>0</v>
      </c>
      <c r="P31" s="413"/>
      <c r="Q31" s="403"/>
      <c r="R31" s="403"/>
      <c r="S31" s="419"/>
      <c r="T31" s="419"/>
      <c r="U31" s="419"/>
      <c r="V31" s="419"/>
    </row>
    <row r="32" spans="1:22" ht="12.75" customHeight="1">
      <c r="A32" s="572" t="s">
        <v>2218</v>
      </c>
      <c r="B32" s="556"/>
      <c r="C32" s="1054"/>
      <c r="D32" s="1054"/>
      <c r="E32" s="1054"/>
      <c r="F32" s="1054"/>
      <c r="G32" s="1054"/>
      <c r="H32" s="593"/>
      <c r="I32" s="593"/>
      <c r="J32" s="777">
        <f>'Set-up and other costs'!$B$18*('UHS Individual cost'!H32*I32)</f>
        <v>0</v>
      </c>
      <c r="K32" s="401">
        <f>IF(P32="Research Cost A",J32,0)</f>
        <v>0</v>
      </c>
      <c r="L32" s="401">
        <f>IF(P32="Research Cost B",J32,0)</f>
        <v>0</v>
      </c>
      <c r="M32" s="401">
        <f>IF(P32="Service Support Cost",J32,0)</f>
        <v>0</v>
      </c>
      <c r="N32" s="401">
        <f>IF(P32="Treatment Cost",J32,0)</f>
        <v>0</v>
      </c>
      <c r="O32" s="401">
        <f>IF(P32="Excess Treatment Cost",J32,0)</f>
        <v>0</v>
      </c>
      <c r="P32" s="413"/>
      <c r="Q32" s="414"/>
      <c r="R32" s="414"/>
      <c r="S32" s="419"/>
      <c r="T32" s="419"/>
      <c r="U32" s="419"/>
      <c r="V32" s="419"/>
    </row>
    <row r="33" spans="1:22" ht="12.75" customHeight="1">
      <c r="A33" s="572" t="s">
        <v>2219</v>
      </c>
      <c r="B33" s="556"/>
      <c r="C33" s="1054"/>
      <c r="D33" s="1054"/>
      <c r="E33" s="1054"/>
      <c r="F33" s="1054"/>
      <c r="G33" s="1054"/>
      <c r="H33" s="593"/>
      <c r="I33" s="593"/>
      <c r="J33" s="777">
        <f>'Set-up and other costs'!$B$18*('UHS Individual cost'!H33*I33)</f>
        <v>0</v>
      </c>
      <c r="K33" s="401">
        <f>IF(P33="Research Cost A",J33,0)</f>
        <v>0</v>
      </c>
      <c r="L33" s="401">
        <f>IF(P33="Research Cost B",J33,0)</f>
        <v>0</v>
      </c>
      <c r="M33" s="401">
        <f>IF(P33="Service Support Cost",J33,0)</f>
        <v>0</v>
      </c>
      <c r="N33" s="401">
        <f>IF(P33="Treatment Cost",J33,0)</f>
        <v>0</v>
      </c>
      <c r="O33" s="401">
        <f>IF(P33="Excess Treatment Cost",J33,0)</f>
        <v>0</v>
      </c>
      <c r="P33" s="611"/>
      <c r="Q33" s="414"/>
      <c r="R33" s="414"/>
      <c r="S33" s="419"/>
      <c r="T33" s="419"/>
      <c r="U33" s="419"/>
      <c r="V33" s="419"/>
    </row>
    <row r="34" spans="1:22" ht="12.75" customHeight="1">
      <c r="A34" s="572" t="s">
        <v>2220</v>
      </c>
      <c r="B34" s="556"/>
      <c r="C34" s="1054"/>
      <c r="D34" s="1054"/>
      <c r="E34" s="1054"/>
      <c r="F34" s="1054"/>
      <c r="G34" s="1054"/>
      <c r="H34" s="593"/>
      <c r="I34" s="593"/>
      <c r="J34" s="777">
        <f>'Set-up and other costs'!$B$18*('UHS Individual cost'!H34*I34)</f>
        <v>0</v>
      </c>
      <c r="K34" s="401">
        <f>IF(P34="Research Cost A",J34,0)</f>
        <v>0</v>
      </c>
      <c r="L34" s="401">
        <f>IF(P34="Research Cost B",J34,0)</f>
        <v>0</v>
      </c>
      <c r="M34" s="401">
        <f>IF(P34="Service Support Cost",J34,0)</f>
        <v>0</v>
      </c>
      <c r="N34" s="401">
        <f>IF(P34="Treatment Cost",J34,0)</f>
        <v>0</v>
      </c>
      <c r="O34" s="401">
        <f>IF(P34="Excess Treatment Cost",J34,0)</f>
        <v>0</v>
      </c>
      <c r="P34" s="413"/>
      <c r="Q34" s="414"/>
      <c r="R34" s="414"/>
      <c r="S34" s="419"/>
      <c r="T34" s="419"/>
      <c r="U34" s="419"/>
      <c r="V34" s="419"/>
    </row>
    <row r="35" spans="1:22" ht="12.75" customHeight="1">
      <c r="A35" s="572" t="s">
        <v>2221</v>
      </c>
      <c r="B35" s="556"/>
      <c r="C35" s="1054"/>
      <c r="D35" s="1054"/>
      <c r="E35" s="1054"/>
      <c r="F35" s="1054"/>
      <c r="G35" s="1054"/>
      <c r="H35" s="593"/>
      <c r="I35" s="593"/>
      <c r="J35" s="777">
        <f>'Set-up and other costs'!$B$18*('UHS Individual cost'!H35*I35)</f>
        <v>0</v>
      </c>
      <c r="K35" s="401">
        <f>IF(P35="Research Cost A",J35,0)</f>
        <v>0</v>
      </c>
      <c r="L35" s="401">
        <f>IF(P35="Research Cost B",J35,0)</f>
        <v>0</v>
      </c>
      <c r="M35" s="401">
        <f>IF(P35="Service Support Cost",J35,0)</f>
        <v>0</v>
      </c>
      <c r="N35" s="401">
        <f>IF(P35="Treatment Cost",J35,0)</f>
        <v>0</v>
      </c>
      <c r="O35" s="401">
        <f>IF(P35="Excess Treatment Cost",J35,0)</f>
        <v>0</v>
      </c>
      <c r="P35" s="413"/>
      <c r="Q35" s="414"/>
      <c r="R35" s="414"/>
      <c r="S35" s="419"/>
      <c r="T35" s="419"/>
      <c r="U35" s="419"/>
      <c r="V35" s="419"/>
    </row>
    <row r="36" spans="1:22" ht="12.75" customHeight="1">
      <c r="A36" s="572" t="s">
        <v>1816</v>
      </c>
      <c r="B36" s="556"/>
      <c r="C36" s="1054"/>
      <c r="D36" s="1054"/>
      <c r="E36" s="1054"/>
      <c r="F36" s="1054"/>
      <c r="G36" s="1054"/>
      <c r="H36" s="593"/>
      <c r="I36" s="593"/>
      <c r="J36" s="777">
        <f>'Set-up and other costs'!$B$18*('UHS Individual cost'!H36*I36)</f>
        <v>0</v>
      </c>
      <c r="K36" s="401">
        <f>IF(P36="Research Cost A",J36,0)</f>
        <v>0</v>
      </c>
      <c r="L36" s="401">
        <f>IF(P36="Research Cost B",J36,0)</f>
        <v>0</v>
      </c>
      <c r="M36" s="401">
        <f>IF(P36="Service Support Cost",J36,0)</f>
        <v>0</v>
      </c>
      <c r="N36" s="401">
        <f>IF(P36="Treatment Cost",J36,0)</f>
        <v>0</v>
      </c>
      <c r="O36" s="401">
        <f>IF(P36="Excess Treatment Cost",J36,0)</f>
        <v>0</v>
      </c>
      <c r="P36" s="413"/>
      <c r="Q36" s="414"/>
      <c r="R36" s="414"/>
      <c r="S36" s="419"/>
      <c r="T36" s="419"/>
      <c r="U36" s="419"/>
      <c r="V36" s="419"/>
    </row>
    <row r="37" spans="1:22" ht="12.75" customHeight="1">
      <c r="A37" s="572" t="s">
        <v>2222</v>
      </c>
      <c r="B37" s="556"/>
      <c r="C37" s="1054"/>
      <c r="D37" s="1054"/>
      <c r="E37" s="1054"/>
      <c r="F37" s="1054"/>
      <c r="G37" s="1054"/>
      <c r="H37" s="593"/>
      <c r="I37" s="593"/>
      <c r="J37" s="777">
        <f>'Set-up and other costs'!$B$18*('UHS Individual cost'!H37*I37)</f>
        <v>0</v>
      </c>
      <c r="K37" s="401">
        <f>IF(P37="Research Cost A",J37,0)</f>
        <v>0</v>
      </c>
      <c r="L37" s="401">
        <f>IF(P37="Research Cost B",J37,0)</f>
        <v>0</v>
      </c>
      <c r="M37" s="401">
        <f>IF(P37="Service Support Cost",J37,0)</f>
        <v>0</v>
      </c>
      <c r="N37" s="401">
        <f>IF(P37="Treatment Cost",J37,0)</f>
        <v>0</v>
      </c>
      <c r="O37" s="401">
        <f>IF(P37="Excess Treatment Cost",J37,0)</f>
        <v>0</v>
      </c>
      <c r="P37" s="413"/>
      <c r="Q37" s="414"/>
      <c r="R37" s="414"/>
      <c r="S37" s="419"/>
      <c r="T37" s="419"/>
      <c r="U37" s="419"/>
      <c r="V37" s="419"/>
    </row>
    <row r="38" spans="1:22" ht="12.75" customHeight="1">
      <c r="A38" s="572" t="s">
        <v>2223</v>
      </c>
      <c r="B38" s="556"/>
      <c r="C38" s="1054"/>
      <c r="D38" s="1054"/>
      <c r="E38" s="1054"/>
      <c r="F38" s="1054"/>
      <c r="G38" s="1054"/>
      <c r="H38" s="593"/>
      <c r="I38" s="593"/>
      <c r="J38" s="777">
        <f>'Set-up and other costs'!$B$18*('UHS Individual cost'!H38*I38)</f>
        <v>0</v>
      </c>
      <c r="K38" s="401">
        <f>IF(P38="Research Cost A",J38,0)</f>
        <v>0</v>
      </c>
      <c r="L38" s="401">
        <f>IF(P38="Research Cost B",J38,0)</f>
        <v>0</v>
      </c>
      <c r="M38" s="401">
        <f>IF(P38="Service Support Cost",J38,0)</f>
        <v>0</v>
      </c>
      <c r="N38" s="401">
        <f>IF(P38="Treatment Cost",J38,0)</f>
        <v>0</v>
      </c>
      <c r="O38" s="401">
        <f>IF(P38="Excess Treatment Cost",J38,0)</f>
        <v>0</v>
      </c>
      <c r="P38" s="413"/>
      <c r="Q38" s="414"/>
      <c r="R38" s="414"/>
      <c r="S38" s="419"/>
      <c r="T38" s="419"/>
      <c r="U38" s="419"/>
      <c r="V38" s="419"/>
    </row>
    <row r="39" spans="1:22" ht="12.75" customHeight="1">
      <c r="A39" s="572" t="s">
        <v>2224</v>
      </c>
      <c r="B39" s="556"/>
      <c r="C39" s="1054"/>
      <c r="D39" s="1054"/>
      <c r="E39" s="1054"/>
      <c r="F39" s="1054"/>
      <c r="G39" s="1054"/>
      <c r="H39" s="593"/>
      <c r="I39" s="593"/>
      <c r="J39" s="777">
        <f>'Set-up and other costs'!$B$18*('UHS Individual cost'!H39*I39)</f>
        <v>0</v>
      </c>
      <c r="K39" s="401">
        <f>IF(P39="Research Cost A",J39,0)</f>
        <v>0</v>
      </c>
      <c r="L39" s="401">
        <f>IF(P39="Research Cost B",J39,0)</f>
        <v>0</v>
      </c>
      <c r="M39" s="401">
        <f>IF(P39="Service Support Cost",J39,0)</f>
        <v>0</v>
      </c>
      <c r="N39" s="401">
        <f>IF(P39="Treatment Cost",J39,0)</f>
        <v>0</v>
      </c>
      <c r="O39" s="401">
        <f>IF(P39="Excess Treatment Cost",J39,0)</f>
        <v>0</v>
      </c>
      <c r="P39" s="413"/>
      <c r="Q39" s="414"/>
      <c r="R39" s="414"/>
      <c r="S39" s="419"/>
      <c r="T39" s="419"/>
      <c r="U39" s="419"/>
      <c r="V39" s="419"/>
    </row>
    <row r="40" spans="1:22" ht="12.75" customHeight="1">
      <c r="A40" s="581" t="s">
        <v>2225</v>
      </c>
      <c r="B40" s="1053"/>
      <c r="C40" s="1054"/>
      <c r="D40" s="1054"/>
      <c r="E40" s="1054"/>
      <c r="F40" s="1054"/>
      <c r="G40" s="1054"/>
      <c r="H40" s="593"/>
      <c r="I40" s="593"/>
      <c r="J40" s="777">
        <f>'Set-up and other costs'!$B$18*('UHS Individual cost'!H40*I40)</f>
        <v>0</v>
      </c>
      <c r="K40" s="401">
        <f>IF(P40="Research Cost A",J40,0)</f>
        <v>0</v>
      </c>
      <c r="L40" s="401">
        <f>IF(P40="Research Cost B",J40,0)</f>
        <v>0</v>
      </c>
      <c r="M40" s="401">
        <f>IF(P40="Service Support Cost",J40,0)</f>
        <v>0</v>
      </c>
      <c r="N40" s="401">
        <f>IF(P40="Treatment Cost",J40,0)</f>
        <v>0</v>
      </c>
      <c r="O40" s="401">
        <f>IF(P40="Excess Treatment Cost",J40,0)</f>
        <v>0</v>
      </c>
      <c r="P40" s="413"/>
      <c r="Q40" s="414"/>
      <c r="R40" s="414"/>
      <c r="S40" s="419"/>
      <c r="T40" s="419"/>
      <c r="U40" s="419"/>
      <c r="V40" s="419"/>
    </row>
    <row r="41" spans="1:22" ht="14.5">
      <c r="A41" s="582"/>
      <c r="B41" s="420"/>
      <c r="C41" s="583"/>
      <c r="D41" s="583"/>
      <c r="E41" s="583"/>
      <c r="F41" s="420"/>
      <c r="G41" s="420"/>
      <c r="H41" s="421"/>
      <c r="I41" s="421"/>
      <c r="J41" s="772"/>
      <c r="K41" s="403"/>
      <c r="L41" s="403"/>
      <c r="M41" s="403"/>
      <c r="N41" s="403"/>
      <c r="O41" s="403"/>
      <c r="P41" s="417"/>
      <c r="Q41" s="419"/>
      <c r="R41" s="419"/>
      <c r="S41" s="419"/>
      <c r="T41" s="419"/>
      <c r="U41" s="419"/>
      <c r="V41" s="419"/>
    </row>
    <row r="42" spans="1:22" ht="14.5">
      <c r="A42" s="584"/>
      <c r="B42" s="420"/>
      <c r="C42" s="583"/>
      <c r="D42" s="583"/>
      <c r="E42" s="583"/>
      <c r="F42" s="420"/>
      <c r="G42" s="569"/>
      <c r="H42" s="416"/>
      <c r="I42" s="416"/>
      <c r="J42" s="772"/>
      <c r="K42" s="403"/>
      <c r="L42" s="403"/>
      <c r="M42" s="403"/>
      <c r="N42" s="403"/>
      <c r="O42" s="403"/>
      <c r="P42" s="417"/>
      <c r="Q42" s="419"/>
      <c r="R42" s="419"/>
      <c r="S42" s="419"/>
      <c r="T42" s="419"/>
      <c r="U42" s="419"/>
      <c r="V42" s="419"/>
    </row>
    <row r="43" spans="1:22" ht="29">
      <c r="A43" s="603" t="s">
        <v>2259</v>
      </c>
      <c r="B43" s="1055" t="s">
        <v>2488</v>
      </c>
      <c r="C43" s="1055"/>
      <c r="D43" s="569"/>
      <c r="E43" s="569"/>
      <c r="F43" s="569"/>
      <c r="G43" s="569"/>
      <c r="H43" s="416"/>
      <c r="I43" s="416"/>
      <c r="J43" s="772"/>
      <c r="K43" s="403"/>
      <c r="L43" s="403"/>
      <c r="M43" s="403"/>
      <c r="N43" s="403"/>
      <c r="O43" s="403"/>
      <c r="P43" s="417"/>
      <c r="Q43" s="419"/>
      <c r="R43" s="419"/>
      <c r="S43" s="419"/>
      <c r="T43" s="419"/>
      <c r="U43" s="419"/>
      <c r="V43" s="419"/>
    </row>
    <row r="44" spans="1:22" ht="43.5">
      <c r="A44" s="585"/>
      <c r="B44" s="405" t="s">
        <v>2282</v>
      </c>
      <c r="C44" s="405" t="s">
        <v>2283</v>
      </c>
      <c r="D44" s="405" t="s">
        <v>2284</v>
      </c>
      <c r="E44" s="405" t="s">
        <v>2285</v>
      </c>
      <c r="F44" s="405" t="s">
        <v>2286</v>
      </c>
      <c r="G44" s="405" t="s">
        <v>2287</v>
      </c>
      <c r="H44" s="405" t="s">
        <v>2288</v>
      </c>
      <c r="I44" s="405" t="s">
        <v>2310</v>
      </c>
      <c r="J44" s="778" t="s">
        <v>2202</v>
      </c>
      <c r="K44" s="394" t="s">
        <v>2203</v>
      </c>
      <c r="L44" s="394"/>
      <c r="M44" s="394"/>
      <c r="N44" s="394"/>
      <c r="O44" s="391"/>
      <c r="P44" s="411" t="s">
        <v>2204</v>
      </c>
      <c r="Q44" s="419"/>
      <c r="R44" s="419"/>
      <c r="S44" s="419"/>
      <c r="T44" s="419"/>
      <c r="U44" s="419"/>
      <c r="V44" s="419"/>
    </row>
    <row r="45" spans="1:22" ht="14.5">
      <c r="A45" s="586" t="s">
        <v>2231</v>
      </c>
      <c r="B45" s="404"/>
      <c r="C45" s="404"/>
      <c r="D45" s="404"/>
      <c r="E45" s="404"/>
      <c r="F45" s="404"/>
      <c r="G45" s="404"/>
      <c r="H45" s="476"/>
      <c r="I45" s="476"/>
      <c r="J45" s="779"/>
      <c r="K45" s="476"/>
      <c r="L45" s="476"/>
      <c r="M45" s="476"/>
      <c r="N45" s="476"/>
      <c r="O45" s="476"/>
      <c r="P45" s="476"/>
      <c r="Q45" s="419"/>
      <c r="R45" s="419"/>
      <c r="S45" s="419"/>
      <c r="T45" s="419"/>
      <c r="U45" s="419"/>
      <c r="V45" s="419"/>
    </row>
    <row r="46" spans="1:22" ht="12.75" customHeight="1">
      <c r="A46" s="587" t="s">
        <v>2232</v>
      </c>
      <c r="B46" s="588"/>
      <c r="C46" s="588"/>
      <c r="D46" s="588"/>
      <c r="E46" s="588"/>
      <c r="F46" s="588"/>
      <c r="G46" s="588"/>
      <c r="H46" s="764"/>
      <c r="I46" s="761"/>
      <c r="J46" s="780">
        <f>'Set-up and other costs'!$B$18*SUM(B46:I46)</f>
        <v>0</v>
      </c>
      <c r="K46" s="401">
        <f>IF(P46="Research Cost A",J46,0)</f>
        <v>0</v>
      </c>
      <c r="L46" s="401">
        <f>IF(P46="Research Cost B",J46,0)</f>
        <v>0</v>
      </c>
      <c r="M46" s="401">
        <f>IF(P46="Service Support Cost",J46,0)</f>
        <v>0</v>
      </c>
      <c r="N46" s="401">
        <f>IF(P46="Treatment Cost",J46,0)</f>
        <v>0</v>
      </c>
      <c r="O46" s="401">
        <f>IF(P46="Excess Treatment Cost",J46,0)</f>
        <v>0</v>
      </c>
      <c r="P46" s="413"/>
      <c r="Q46" s="419"/>
      <c r="R46" s="419"/>
      <c r="S46" s="419"/>
      <c r="T46" s="419"/>
      <c r="U46" s="419"/>
      <c r="V46" s="419"/>
    </row>
    <row r="47" spans="1:22" ht="12.75" customHeight="1">
      <c r="A47" s="589" t="s">
        <v>230</v>
      </c>
      <c r="B47" s="590"/>
      <c r="C47" s="590"/>
      <c r="D47" s="590"/>
      <c r="E47" s="590"/>
      <c r="F47" s="590"/>
      <c r="G47" s="590"/>
      <c r="H47" s="764"/>
      <c r="I47" s="761"/>
      <c r="J47" s="780">
        <f>'Set-up and other costs'!$B$18*SUM(B47:I47)</f>
        <v>0</v>
      </c>
      <c r="K47" s="401">
        <f>IF(P47="Research Cost A",J47,0)</f>
        <v>0</v>
      </c>
      <c r="L47" s="401">
        <f>IF(P47="Research Cost B",J47,0)</f>
        <v>0</v>
      </c>
      <c r="M47" s="401">
        <f>IF(P47="Service Support Cost",J47,0)</f>
        <v>0</v>
      </c>
      <c r="N47" s="401">
        <f>IF(P47="Treatment Cost",J47,0)</f>
        <v>0</v>
      </c>
      <c r="O47" s="401">
        <f>IF(P47="Excess Treatment Cost",J47,0)</f>
        <v>0</v>
      </c>
      <c r="P47" s="413"/>
      <c r="Q47" s="419"/>
      <c r="R47" s="419"/>
      <c r="S47" s="419"/>
      <c r="T47" s="419"/>
      <c r="U47" s="419"/>
      <c r="V47" s="419"/>
    </row>
    <row r="48" spans="1:22" ht="12.75" customHeight="1">
      <c r="A48" s="589" t="s">
        <v>2212</v>
      </c>
      <c r="B48" s="591"/>
      <c r="C48" s="591"/>
      <c r="D48" s="591"/>
      <c r="E48" s="591"/>
      <c r="F48" s="591"/>
      <c r="G48" s="591"/>
      <c r="H48" s="764"/>
      <c r="I48" s="761"/>
      <c r="J48" s="780">
        <f>'Set-up and other costs'!$B$18*SUM(B48:I48)</f>
        <v>0</v>
      </c>
      <c r="K48" s="401">
        <f>IF(P48="Research Cost A",J48,0)</f>
        <v>0</v>
      </c>
      <c r="L48" s="401">
        <f>IF(P48="Research Cost B",J48,0)</f>
        <v>0</v>
      </c>
      <c r="M48" s="401">
        <f>IF(P48="Service Support Cost",J48,0)</f>
        <v>0</v>
      </c>
      <c r="N48" s="401">
        <f>IF(P48="Treatment Cost",J48,0)</f>
        <v>0</v>
      </c>
      <c r="O48" s="401">
        <f>IF(P48="Excess Treatment Cost",J48,0)</f>
        <v>0</v>
      </c>
      <c r="P48" s="611"/>
      <c r="Q48" s="419"/>
      <c r="R48" s="419"/>
      <c r="S48" s="419"/>
      <c r="T48" s="419"/>
      <c r="U48" s="419"/>
      <c r="V48" s="419"/>
    </row>
    <row r="49" spans="1:22" ht="12.75" customHeight="1">
      <c r="A49" s="589"/>
      <c r="B49" s="592"/>
      <c r="C49" s="592"/>
      <c r="D49" s="592"/>
      <c r="E49" s="592"/>
      <c r="F49" s="592"/>
      <c r="G49" s="592"/>
      <c r="H49" s="764"/>
      <c r="I49" s="761"/>
      <c r="J49" s="780">
        <f>'Set-up and other costs'!$B$18*SUM(B49:I49)</f>
        <v>0</v>
      </c>
      <c r="K49" s="401">
        <f>IF(P49="Research Cost A",J49,0)</f>
        <v>0</v>
      </c>
      <c r="L49" s="401">
        <f>IF(P49="Research Cost B",J49,0)</f>
        <v>0</v>
      </c>
      <c r="M49" s="401">
        <f>IF(P49="Service Support Cost",J49,0)</f>
        <v>0</v>
      </c>
      <c r="N49" s="401">
        <f>IF(P49="Treatment Cost",J49,0)</f>
        <v>0</v>
      </c>
      <c r="O49" s="401">
        <f>IF(P49="Excess Treatment Cost",J49,0)</f>
        <v>0</v>
      </c>
      <c r="P49" s="413"/>
      <c r="Q49" s="419"/>
      <c r="R49" s="419"/>
      <c r="S49" s="419"/>
      <c r="T49" s="419"/>
      <c r="U49" s="419"/>
      <c r="V49" s="419"/>
    </row>
    <row r="50" spans="1:22" ht="12.75" customHeight="1">
      <c r="A50" s="587"/>
      <c r="B50" s="593"/>
      <c r="C50" s="593"/>
      <c r="D50" s="593"/>
      <c r="E50" s="593"/>
      <c r="F50" s="593"/>
      <c r="G50" s="593"/>
      <c r="H50" s="764"/>
      <c r="I50" s="761"/>
      <c r="J50" s="780">
        <f>'Set-up and other costs'!$B$18*SUM(B50:I50)</f>
        <v>0</v>
      </c>
      <c r="K50" s="401">
        <f>IF(P50="Research Cost A",J50,0)</f>
        <v>0</v>
      </c>
      <c r="L50" s="401">
        <f>IF(P50="Research Cost B",J50,0)</f>
        <v>0</v>
      </c>
      <c r="M50" s="401">
        <f>IF(P50="Service Support Cost",J50,0)</f>
        <v>0</v>
      </c>
      <c r="N50" s="401">
        <f>IF(P50="Treatment Cost",J50,0)</f>
        <v>0</v>
      </c>
      <c r="O50" s="401">
        <f>IF(P50="Excess Treatment Cost",J50,0)</f>
        <v>0</v>
      </c>
      <c r="P50" s="413"/>
      <c r="Q50" s="414"/>
      <c r="R50" s="414"/>
      <c r="S50" s="419"/>
      <c r="T50" s="419"/>
      <c r="U50" s="419"/>
      <c r="V50" s="419"/>
    </row>
    <row r="51" spans="1:22" ht="29">
      <c r="A51" s="594" t="s">
        <v>2233</v>
      </c>
      <c r="B51" s="404"/>
      <c r="C51" s="404"/>
      <c r="D51" s="404"/>
      <c r="E51" s="404"/>
      <c r="F51" s="404"/>
      <c r="G51" s="404"/>
      <c r="H51" s="476"/>
      <c r="I51" s="476"/>
      <c r="J51" s="779"/>
      <c r="K51" s="476"/>
      <c r="L51" s="476"/>
      <c r="M51" s="476"/>
      <c r="N51" s="476"/>
      <c r="O51" s="476"/>
      <c r="P51" s="476"/>
      <c r="Q51" s="414"/>
      <c r="R51" s="414"/>
      <c r="S51" s="419"/>
      <c r="T51" s="419"/>
      <c r="U51" s="419"/>
      <c r="V51" s="419"/>
    </row>
    <row r="52" spans="1:22" ht="14.25" customHeight="1">
      <c r="A52" s="587" t="s">
        <v>2234</v>
      </c>
      <c r="B52" s="593"/>
      <c r="C52" s="593"/>
      <c r="D52" s="593"/>
      <c r="E52" s="593"/>
      <c r="F52" s="593"/>
      <c r="G52" s="593"/>
      <c r="H52" s="764"/>
      <c r="I52" s="761"/>
      <c r="J52" s="780">
        <f>'Set-up and other costs'!$B$18*SUM(B52:I52)</f>
        <v>0</v>
      </c>
      <c r="K52" s="401">
        <f>IF(P52="Research Cost A",J52,0)</f>
        <v>0</v>
      </c>
      <c r="L52" s="401">
        <f>IF(P52="Research Cost B",J52,0)</f>
        <v>0</v>
      </c>
      <c r="M52" s="401">
        <f>IF(P52="Service Support Cost",J52,0)</f>
        <v>0</v>
      </c>
      <c r="N52" s="401">
        <f>IF(P52="Treatment Cost",J52,0)</f>
        <v>0</v>
      </c>
      <c r="O52" s="401">
        <f>IF(P52="Excess Treatment Cost",J52,0)</f>
        <v>0</v>
      </c>
      <c r="P52" s="413"/>
      <c r="Q52" s="422"/>
      <c r="R52" s="422"/>
      <c r="S52" s="419"/>
      <c r="T52" s="419"/>
      <c r="U52" s="419"/>
      <c r="V52" s="419"/>
    </row>
    <row r="53" spans="1:22" ht="14.25" customHeight="1">
      <c r="A53" s="589"/>
      <c r="B53" s="595"/>
      <c r="C53" s="595"/>
      <c r="D53" s="595"/>
      <c r="E53" s="595"/>
      <c r="F53" s="595"/>
      <c r="G53" s="595"/>
      <c r="H53" s="764"/>
      <c r="I53" s="761"/>
      <c r="J53" s="780">
        <f>'Set-up and other costs'!$B$18*SUM(B53:I53)</f>
        <v>0</v>
      </c>
      <c r="K53" s="401">
        <f>IF(P53="Research Cost A",J53,0)</f>
        <v>0</v>
      </c>
      <c r="L53" s="401">
        <f>IF(P53="Research Cost B",J53,0)</f>
        <v>0</v>
      </c>
      <c r="M53" s="401">
        <f>IF(P53="Service Support Cost",J53,0)</f>
        <v>0</v>
      </c>
      <c r="N53" s="401">
        <f>IF(P53="Treatment Cost",J53,0)</f>
        <v>0</v>
      </c>
      <c r="O53" s="401">
        <f>IF(P53="Excess Treatment Cost",J53,0)</f>
        <v>0</v>
      </c>
      <c r="P53" s="611"/>
      <c r="Q53" s="414"/>
      <c r="R53" s="414"/>
      <c r="S53" s="419"/>
      <c r="T53" s="419"/>
      <c r="U53" s="419"/>
      <c r="V53" s="419"/>
    </row>
    <row r="54" spans="1:22" ht="14.25" customHeight="1">
      <c r="A54" s="589"/>
      <c r="B54" s="396"/>
      <c r="C54" s="396"/>
      <c r="D54" s="396"/>
      <c r="E54" s="396"/>
      <c r="F54" s="396"/>
      <c r="G54" s="396"/>
      <c r="H54" s="764"/>
      <c r="I54" s="761"/>
      <c r="J54" s="780">
        <f>'Set-up and other costs'!$B$18*SUM(B54:I54)</f>
        <v>0</v>
      </c>
      <c r="K54" s="401">
        <f>IF(P54="Research Cost A",J54,0)</f>
        <v>0</v>
      </c>
      <c r="L54" s="401">
        <f>IF(P54="Research Cost B",J54,0)</f>
        <v>0</v>
      </c>
      <c r="M54" s="401">
        <f>IF(P54="Service Support Cost",J54,0)</f>
        <v>0</v>
      </c>
      <c r="N54" s="401">
        <f>IF(P54="Treatment Cost",J54,0)</f>
        <v>0</v>
      </c>
      <c r="O54" s="401">
        <f>IF(P54="Excess Treatment Cost",J54,0)</f>
        <v>0</v>
      </c>
      <c r="P54" s="413"/>
      <c r="Q54" s="414"/>
      <c r="R54" s="414"/>
      <c r="S54" s="419"/>
      <c r="T54" s="419"/>
      <c r="U54" s="419"/>
      <c r="V54" s="419"/>
    </row>
    <row r="55" spans="1:22" ht="14.25" customHeight="1">
      <c r="A55" s="589"/>
      <c r="B55" s="596"/>
      <c r="C55" s="596"/>
      <c r="D55" s="596"/>
      <c r="E55" s="596"/>
      <c r="F55" s="596"/>
      <c r="G55" s="596"/>
      <c r="H55" s="764"/>
      <c r="I55" s="761"/>
      <c r="J55" s="780">
        <f>'Set-up and other costs'!$B$18*SUM(B55:I55)</f>
        <v>0</v>
      </c>
      <c r="K55" s="401">
        <f>IF(P55="Research Cost A",J55,0)</f>
        <v>0</v>
      </c>
      <c r="L55" s="401">
        <f>IF(P55="Research Cost B",J55,0)</f>
        <v>0</v>
      </c>
      <c r="M55" s="401">
        <f>IF(P55="Service Support Cost",J55,0)</f>
        <v>0</v>
      </c>
      <c r="N55" s="401">
        <f>IF(P55="Treatment Cost",J55,0)</f>
        <v>0</v>
      </c>
      <c r="O55" s="401">
        <f>IF(P55="Excess Treatment Cost",J55,0)</f>
        <v>0</v>
      </c>
      <c r="P55" s="413"/>
      <c r="Q55" s="414"/>
      <c r="R55" s="414"/>
      <c r="S55" s="419"/>
      <c r="T55" s="419"/>
      <c r="U55" s="419"/>
      <c r="V55" s="419"/>
    </row>
    <row r="56" spans="1:22" ht="14.25" customHeight="1">
      <c r="A56" s="587"/>
      <c r="B56" s="593"/>
      <c r="C56" s="593"/>
      <c r="D56" s="593"/>
      <c r="E56" s="593"/>
      <c r="F56" s="593"/>
      <c r="G56" s="593"/>
      <c r="H56" s="764"/>
      <c r="I56" s="761"/>
      <c r="J56" s="780">
        <f>'Set-up and other costs'!$B$18*SUM(B56:I56)</f>
        <v>0</v>
      </c>
      <c r="K56" s="401">
        <f>IF(P56="Research Cost A",J56,0)</f>
        <v>0</v>
      </c>
      <c r="L56" s="401">
        <f>IF(P56="Research Cost B",J56,0)</f>
        <v>0</v>
      </c>
      <c r="M56" s="401">
        <f>IF(P56="Service Support Cost",J56,0)</f>
        <v>0</v>
      </c>
      <c r="N56" s="401">
        <f>IF(P56="Treatment Cost",J56,0)</f>
        <v>0</v>
      </c>
      <c r="O56" s="401">
        <f>IF(P56="Excess Treatment Cost",J56,0)</f>
        <v>0</v>
      </c>
      <c r="P56" s="413"/>
      <c r="Q56" s="414"/>
      <c r="R56" s="414"/>
      <c r="S56" s="419"/>
      <c r="T56" s="419"/>
      <c r="U56" s="419"/>
      <c r="V56" s="419"/>
    </row>
    <row r="57" spans="1:22" ht="14.5">
      <c r="A57" s="594" t="s">
        <v>2235</v>
      </c>
      <c r="B57" s="597"/>
      <c r="C57" s="597"/>
      <c r="D57" s="597"/>
      <c r="E57" s="597"/>
      <c r="F57" s="597"/>
      <c r="G57" s="597"/>
      <c r="H57" s="477"/>
      <c r="I57" s="477"/>
      <c r="J57" s="781"/>
      <c r="K57" s="477"/>
      <c r="L57" s="477"/>
      <c r="M57" s="477"/>
      <c r="N57" s="477"/>
      <c r="O57" s="477"/>
      <c r="P57" s="477"/>
      <c r="Q57" s="414"/>
      <c r="R57" s="414"/>
      <c r="S57" s="419"/>
      <c r="T57" s="419"/>
      <c r="U57" s="419"/>
      <c r="V57" s="419"/>
    </row>
    <row r="58" spans="1:22" ht="14.25" customHeight="1">
      <c r="A58" s="587" t="s">
        <v>2236</v>
      </c>
      <c r="B58" s="593"/>
      <c r="C58" s="593"/>
      <c r="D58" s="593"/>
      <c r="E58" s="593"/>
      <c r="F58" s="593"/>
      <c r="G58" s="593"/>
      <c r="H58" s="764"/>
      <c r="I58" s="761"/>
      <c r="J58" s="780">
        <f>'Set-up and other costs'!$B$18*SUM(B58:I58)</f>
        <v>0</v>
      </c>
      <c r="K58" s="401">
        <f>IF(P58="Research Cost A",J58,0)</f>
        <v>0</v>
      </c>
      <c r="L58" s="401">
        <f>IF(P58="Research Cost B",J58,0)</f>
        <v>0</v>
      </c>
      <c r="M58" s="401">
        <f>IF(P58="Service Support Cost",J58,0)</f>
        <v>0</v>
      </c>
      <c r="N58" s="401">
        <f>IF(P58="Treatment Cost",J58,0)</f>
        <v>0</v>
      </c>
      <c r="O58" s="401">
        <f>IF(P58="Excess Treatment Cost",J58,0)</f>
        <v>0</v>
      </c>
      <c r="P58" s="413"/>
      <c r="Q58" s="414"/>
      <c r="R58" s="414"/>
      <c r="S58" s="419"/>
      <c r="T58" s="419"/>
      <c r="U58" s="419"/>
      <c r="V58" s="419"/>
    </row>
    <row r="59" spans="1:22" ht="14.25" customHeight="1">
      <c r="A59" s="589" t="s">
        <v>2237</v>
      </c>
      <c r="B59" s="595"/>
      <c r="C59" s="595"/>
      <c r="D59" s="595"/>
      <c r="E59" s="595"/>
      <c r="F59" s="595"/>
      <c r="G59" s="595"/>
      <c r="H59" s="764"/>
      <c r="I59" s="761"/>
      <c r="J59" s="780">
        <f>'Set-up and other costs'!$B$18*SUM(B59:I59)</f>
        <v>0</v>
      </c>
      <c r="K59" s="401">
        <f>IF(P59="Research Cost A",J59,0)</f>
        <v>0</v>
      </c>
      <c r="L59" s="401">
        <f>IF(P59="Research Cost B",J59,0)</f>
        <v>0</v>
      </c>
      <c r="M59" s="401">
        <f>IF(P59="Service Support Cost",J59,0)</f>
        <v>0</v>
      </c>
      <c r="N59" s="401">
        <f>IF(P59="Treatment Cost",J59,0)</f>
        <v>0</v>
      </c>
      <c r="O59" s="401">
        <f>IF(P59="Excess Treatment Cost",J59,0)</f>
        <v>0</v>
      </c>
      <c r="P59" s="413"/>
      <c r="Q59" s="414"/>
      <c r="R59" s="414"/>
      <c r="S59" s="419"/>
      <c r="T59" s="419"/>
      <c r="U59" s="419"/>
      <c r="V59" s="419"/>
    </row>
    <row r="60" spans="1:22" ht="14.25" customHeight="1">
      <c r="A60" s="589" t="s">
        <v>2238</v>
      </c>
      <c r="B60" s="596"/>
      <c r="C60" s="596"/>
      <c r="D60" s="596"/>
      <c r="E60" s="596"/>
      <c r="F60" s="596"/>
      <c r="G60" s="596"/>
      <c r="H60" s="764"/>
      <c r="I60" s="761"/>
      <c r="J60" s="780">
        <f>'Set-up and other costs'!$B$18*SUM(B60:I60)</f>
        <v>0</v>
      </c>
      <c r="K60" s="401">
        <f>IF(P60="Research Cost A",J60,0)</f>
        <v>0</v>
      </c>
      <c r="L60" s="401">
        <f>IF(P60="Research Cost B",J60,0)</f>
        <v>0</v>
      </c>
      <c r="M60" s="401">
        <f>IF(P60="Service Support Cost",J60,0)</f>
        <v>0</v>
      </c>
      <c r="N60" s="401">
        <f>IF(P60="Treatment Cost",J60,0)</f>
        <v>0</v>
      </c>
      <c r="O60" s="401">
        <f>IF(P60="Excess Treatment Cost",J60,0)</f>
        <v>0</v>
      </c>
      <c r="P60" s="611"/>
      <c r="Q60" s="414"/>
      <c r="R60" s="414"/>
      <c r="S60" s="419"/>
      <c r="T60" s="419"/>
      <c r="U60" s="419"/>
      <c r="V60" s="419"/>
    </row>
    <row r="61" spans="1:22" ht="14.25" customHeight="1">
      <c r="A61" s="598" t="s">
        <v>2239</v>
      </c>
      <c r="B61" s="593"/>
      <c r="C61" s="593"/>
      <c r="D61" s="593"/>
      <c r="E61" s="593"/>
      <c r="F61" s="593"/>
      <c r="G61" s="593"/>
      <c r="H61" s="764"/>
      <c r="I61" s="761"/>
      <c r="J61" s="780">
        <f>'Set-up and other costs'!$B$18*SUM(B61:I61)</f>
        <v>0</v>
      </c>
      <c r="K61" s="401">
        <f>IF(P61="Research Cost A",J61,0)</f>
        <v>0</v>
      </c>
      <c r="L61" s="401">
        <f>IF(P61="Research Cost B",J61,0)</f>
        <v>0</v>
      </c>
      <c r="M61" s="401">
        <f>IF(P61="Service Support Cost",J61,0)</f>
        <v>0</v>
      </c>
      <c r="N61" s="401">
        <f>IF(P61="Treatment Cost",J61,0)</f>
        <v>0</v>
      </c>
      <c r="O61" s="401">
        <f>IF(P61="Excess Treatment Cost",J61,0)</f>
        <v>0</v>
      </c>
      <c r="P61" s="413"/>
      <c r="Q61" s="414"/>
      <c r="R61" s="414"/>
      <c r="S61" s="419"/>
      <c r="T61" s="419"/>
      <c r="U61" s="419"/>
      <c r="V61" s="419"/>
    </row>
    <row r="62" spans="1:22" ht="14.25" customHeight="1">
      <c r="A62" s="587"/>
      <c r="B62" s="593"/>
      <c r="C62" s="593"/>
      <c r="D62" s="593"/>
      <c r="E62" s="593"/>
      <c r="F62" s="593"/>
      <c r="G62" s="593"/>
      <c r="H62" s="764"/>
      <c r="I62" s="761"/>
      <c r="J62" s="780">
        <f>'Set-up and other costs'!$B$18*SUM(B62:I62)</f>
        <v>0</v>
      </c>
      <c r="K62" s="401">
        <f>IF(P62="Research Cost A",J62,0)</f>
        <v>0</v>
      </c>
      <c r="L62" s="401">
        <f>IF(P62="Research Cost B",J62,0)</f>
        <v>0</v>
      </c>
      <c r="M62" s="401">
        <f>IF(P62="Service Support Cost",J62,0)</f>
        <v>0</v>
      </c>
      <c r="N62" s="401">
        <f>IF(P62="Treatment Cost",J62,0)</f>
        <v>0</v>
      </c>
      <c r="O62" s="401">
        <f>IF(P62="Excess Treatment Cost",J62,0)</f>
        <v>0</v>
      </c>
      <c r="P62" s="413"/>
      <c r="Q62" s="414"/>
      <c r="R62" s="414"/>
      <c r="S62" s="419"/>
      <c r="T62" s="419"/>
      <c r="U62" s="419"/>
      <c r="V62" s="419"/>
    </row>
    <row r="63" spans="1:22" ht="37.5" customHeight="1">
      <c r="A63" s="1047" t="s">
        <v>2436</v>
      </c>
      <c r="B63" s="1048"/>
      <c r="C63" s="1048"/>
      <c r="D63" s="1048"/>
      <c r="E63" s="404"/>
      <c r="F63" s="404"/>
      <c r="G63" s="404"/>
      <c r="H63" s="476"/>
      <c r="I63" s="476"/>
      <c r="J63" s="779"/>
      <c r="K63" s="476"/>
      <c r="L63" s="476"/>
      <c r="M63" s="476"/>
      <c r="N63" s="476"/>
      <c r="O63" s="476"/>
      <c r="P63" s="476"/>
      <c r="Q63" s="414"/>
      <c r="R63" s="414"/>
      <c r="S63" s="419"/>
      <c r="T63" s="419"/>
      <c r="U63" s="419"/>
      <c r="V63" s="419"/>
    </row>
    <row r="64" spans="1:22" ht="63" customHeight="1">
      <c r="A64" s="400" t="s">
        <v>2471</v>
      </c>
      <c r="B64" s="593"/>
      <c r="C64" s="593"/>
      <c r="D64" s="593"/>
      <c r="E64" s="593"/>
      <c r="F64" s="593"/>
      <c r="G64" s="593"/>
      <c r="H64" s="764"/>
      <c r="I64" s="761"/>
      <c r="J64" s="780">
        <f>'Set-up and other costs'!$B$18*SUM(B64:I64)</f>
        <v>0</v>
      </c>
      <c r="K64" s="401">
        <f>IF(P64="Research Cost A",J64,0)</f>
        <v>0</v>
      </c>
      <c r="L64" s="401">
        <f>IF(P64="Research Cost B",J64,0)</f>
        <v>0</v>
      </c>
      <c r="M64" s="401">
        <f>IF(P64="Service Support Cost",J64,0)</f>
        <v>0</v>
      </c>
      <c r="N64" s="401">
        <f>IF(P64="Treatment Cost",J64,0)</f>
        <v>0</v>
      </c>
      <c r="O64" s="401">
        <f>IF(P64="Excess Treatment Cost",J64,0)</f>
        <v>0</v>
      </c>
      <c r="P64" s="413"/>
      <c r="Q64" s="414"/>
      <c r="R64" s="414"/>
      <c r="S64" s="419"/>
      <c r="T64" s="419"/>
      <c r="U64" s="419"/>
      <c r="V64" s="419"/>
    </row>
    <row r="65" spans="1:22" ht="12.75" customHeight="1">
      <c r="A65" s="400" t="s">
        <v>2341</v>
      </c>
      <c r="B65" s="593"/>
      <c r="C65" s="593"/>
      <c r="D65" s="593"/>
      <c r="E65" s="593"/>
      <c r="F65" s="593"/>
      <c r="G65" s="593"/>
      <c r="H65" s="764"/>
      <c r="I65" s="761"/>
      <c r="J65" s="780">
        <f>'Set-up and other costs'!$B$18*SUM(B65:I65)</f>
        <v>0</v>
      </c>
      <c r="K65" s="401">
        <f>IF(P65="Research Cost A",J65,0)</f>
        <v>0</v>
      </c>
      <c r="L65" s="401">
        <f>IF(P65="Research Cost B",J65,0)</f>
        <v>0</v>
      </c>
      <c r="M65" s="401">
        <f>IF(P65="Service Support Cost",J65,0)</f>
        <v>0</v>
      </c>
      <c r="N65" s="401">
        <f>IF(P65="Treatment Cost",J65,0)</f>
        <v>0</v>
      </c>
      <c r="O65" s="401">
        <f>IF(P65="Excess Treatment Cost",J65,0)</f>
        <v>0</v>
      </c>
      <c r="P65" s="413"/>
      <c r="Q65" s="414"/>
      <c r="R65" s="414"/>
      <c r="S65" s="419"/>
      <c r="T65" s="419"/>
      <c r="U65" s="419"/>
      <c r="V65" s="419"/>
    </row>
    <row r="66" spans="1:22" ht="12.75" customHeight="1">
      <c r="A66" s="599"/>
      <c r="B66" s="595"/>
      <c r="C66" s="595"/>
      <c r="D66" s="595"/>
      <c r="E66" s="595"/>
      <c r="F66" s="595"/>
      <c r="G66" s="595"/>
      <c r="H66" s="764"/>
      <c r="I66" s="761"/>
      <c r="J66" s="780">
        <f>'Set-up and other costs'!$B$18*SUM(B66:I66)</f>
        <v>0</v>
      </c>
      <c r="K66" s="401">
        <f>IF(P66="Research Cost A",J66,0)</f>
        <v>0</v>
      </c>
      <c r="L66" s="401">
        <f>IF(P66="Research Cost B",J66,0)</f>
        <v>0</v>
      </c>
      <c r="M66" s="401">
        <f>IF(P66="Service Support Cost",J66,0)</f>
        <v>0</v>
      </c>
      <c r="N66" s="401">
        <f>IF(P66="Treatment Cost",J66,0)</f>
        <v>0</v>
      </c>
      <c r="O66" s="401">
        <f>IF(P66="Excess Treatment Cost",J66,0)</f>
        <v>0</v>
      </c>
      <c r="P66" s="611"/>
      <c r="Q66" s="419"/>
      <c r="R66" s="419"/>
      <c r="S66" s="419"/>
      <c r="T66" s="419"/>
      <c r="U66" s="419"/>
      <c r="V66" s="419"/>
    </row>
    <row r="67" spans="1:22" ht="12.75" customHeight="1">
      <c r="A67" s="599"/>
      <c r="B67" s="396"/>
      <c r="C67" s="396"/>
      <c r="D67" s="396"/>
      <c r="E67" s="396"/>
      <c r="F67" s="396"/>
      <c r="G67" s="396"/>
      <c r="H67" s="764"/>
      <c r="I67" s="761"/>
      <c r="J67" s="780">
        <f>'Set-up and other costs'!$B$18*SUM(B67:I67)</f>
        <v>0</v>
      </c>
      <c r="K67" s="401">
        <f>IF(P67="Research Cost A",J67,0)</f>
        <v>0</v>
      </c>
      <c r="L67" s="401">
        <f>IF(P67="Research Cost B",J67,0)</f>
        <v>0</v>
      </c>
      <c r="M67" s="401">
        <f>IF(P67="Service Support Cost",J67,0)</f>
        <v>0</v>
      </c>
      <c r="N67" s="401">
        <f>IF(P67="Treatment Cost",J67,0)</f>
        <v>0</v>
      </c>
      <c r="O67" s="401">
        <f>IF(P67="Excess Treatment Cost",J67,0)</f>
        <v>0</v>
      </c>
      <c r="P67" s="413"/>
      <c r="Q67" s="419"/>
      <c r="R67" s="419"/>
      <c r="S67" s="419"/>
      <c r="T67" s="419"/>
      <c r="U67" s="419"/>
      <c r="V67" s="419"/>
    </row>
    <row r="68" spans="1:22" ht="12.75" customHeight="1">
      <c r="A68" s="599"/>
      <c r="B68" s="396"/>
      <c r="C68" s="396"/>
      <c r="D68" s="396"/>
      <c r="E68" s="396"/>
      <c r="F68" s="396"/>
      <c r="G68" s="396"/>
      <c r="H68" s="764"/>
      <c r="I68" s="761"/>
      <c r="J68" s="780">
        <f>'Set-up and other costs'!$B$18*SUM(B68:I68)</f>
        <v>0</v>
      </c>
      <c r="K68" s="401">
        <f>IF(P68="Research Cost A",J68,0)</f>
        <v>0</v>
      </c>
      <c r="L68" s="401">
        <f>IF(P68="Research Cost B",J68,0)</f>
        <v>0</v>
      </c>
      <c r="M68" s="401">
        <f>IF(P68="Service Support Cost",J68,0)</f>
        <v>0</v>
      </c>
      <c r="N68" s="401">
        <f>IF(P68="Treatment Cost",J68,0)</f>
        <v>0</v>
      </c>
      <c r="O68" s="401">
        <f>IF(P68="Excess Treatment Cost",J68,0)</f>
        <v>0</v>
      </c>
      <c r="P68" s="413"/>
      <c r="Q68" s="419"/>
      <c r="R68" s="419"/>
      <c r="S68" s="419"/>
      <c r="T68" s="419"/>
      <c r="U68" s="419"/>
      <c r="V68" s="419"/>
    </row>
    <row r="69" spans="1:22" ht="12.75" customHeight="1">
      <c r="A69" s="599"/>
      <c r="B69" s="396"/>
      <c r="C69" s="396"/>
      <c r="D69" s="396"/>
      <c r="E69" s="396"/>
      <c r="F69" s="396"/>
      <c r="G69" s="596"/>
      <c r="H69" s="764"/>
      <c r="I69" s="761"/>
      <c r="J69" s="780">
        <f>'Set-up and other costs'!$B$18*SUM(B69:I69)</f>
        <v>0</v>
      </c>
      <c r="K69" s="401">
        <f>IF(P69="Research Cost A",J69,0)</f>
        <v>0</v>
      </c>
      <c r="L69" s="401">
        <f>IF(P69="Research Cost B",J69,0)</f>
        <v>0</v>
      </c>
      <c r="M69" s="401">
        <f>IF(P69="Service Support Cost",J69,0)</f>
        <v>0</v>
      </c>
      <c r="N69" s="401">
        <f>IF(P69="Treatment Cost",J69,0)</f>
        <v>0</v>
      </c>
      <c r="O69" s="401">
        <f>IF(P69="Excess Treatment Cost",J69,0)</f>
        <v>0</v>
      </c>
      <c r="P69" s="413"/>
      <c r="Q69" s="419"/>
      <c r="R69" s="419"/>
      <c r="S69" s="419"/>
      <c r="T69" s="419"/>
      <c r="U69" s="419"/>
      <c r="V69" s="419"/>
    </row>
    <row r="70" spans="1:22" ht="12.75" customHeight="1">
      <c r="A70" s="599"/>
      <c r="B70" s="600"/>
      <c r="C70" s="396"/>
      <c r="D70" s="396"/>
      <c r="E70" s="396"/>
      <c r="F70" s="556"/>
      <c r="G70" s="593"/>
      <c r="H70" s="764"/>
      <c r="I70" s="761"/>
      <c r="J70" s="780">
        <f>'Set-up and other costs'!$B$18*SUM(B70:I70)</f>
        <v>0</v>
      </c>
      <c r="K70" s="401">
        <f>IF(P70="Research Cost A",J70,0)</f>
        <v>0</v>
      </c>
      <c r="L70" s="401">
        <f>IF(P70="Research Cost B",J70,0)</f>
        <v>0</v>
      </c>
      <c r="M70" s="401">
        <f>IF(P70="Service Support Cost",J70,0)</f>
        <v>0</v>
      </c>
      <c r="N70" s="401">
        <f>IF(P70="Treatment Cost",J70,0)</f>
        <v>0</v>
      </c>
      <c r="O70" s="401">
        <f>IF(P70="Excess Treatment Cost",J70,0)</f>
        <v>0</v>
      </c>
      <c r="P70" s="413"/>
      <c r="Q70" s="419"/>
      <c r="R70" s="419"/>
      <c r="S70" s="419"/>
      <c r="T70" s="419"/>
      <c r="U70" s="419"/>
      <c r="V70" s="419"/>
    </row>
    <row r="71" spans="1:22" ht="12.75" customHeight="1">
      <c r="A71" s="589"/>
      <c r="B71" s="396"/>
      <c r="C71" s="396"/>
      <c r="D71" s="396"/>
      <c r="E71" s="396"/>
      <c r="F71" s="556"/>
      <c r="G71" s="593"/>
      <c r="H71" s="764"/>
      <c r="I71" s="761"/>
      <c r="J71" s="780">
        <f>'Set-up and other costs'!$B$18*SUM(B71:I71)</f>
        <v>0</v>
      </c>
      <c r="K71" s="401">
        <f>IF(P71="Research Cost A",J71,0)</f>
        <v>0</v>
      </c>
      <c r="L71" s="401">
        <f>IF(P71="Research Cost B",J71,0)</f>
        <v>0</v>
      </c>
      <c r="M71" s="401">
        <f>IF(P71="Service Support Cost",J71,0)</f>
        <v>0</v>
      </c>
      <c r="N71" s="401">
        <f>IF(P71="Treatment Cost",J71,0)</f>
        <v>0</v>
      </c>
      <c r="O71" s="401">
        <f>IF(P71="Excess Treatment Cost",J71,0)</f>
        <v>0</v>
      </c>
      <c r="P71" s="413"/>
      <c r="Q71" s="419"/>
      <c r="R71" s="419"/>
      <c r="S71" s="419"/>
      <c r="T71" s="419"/>
      <c r="U71" s="419"/>
      <c r="V71" s="419"/>
    </row>
    <row r="72" spans="1:16">
      <c r="A72" s="783"/>
      <c r="B72" s="783"/>
      <c r="C72" s="783"/>
      <c r="D72" s="783"/>
      <c r="E72" s="783"/>
      <c r="F72" s="783"/>
      <c r="G72" s="783"/>
      <c r="H72" s="783"/>
      <c r="I72" s="783"/>
      <c r="J72" s="783"/>
      <c r="K72" s="783"/>
      <c r="L72" s="783"/>
      <c r="M72" s="783"/>
      <c r="N72" s="783"/>
      <c r="O72" s="783"/>
      <c r="P72" s="783"/>
    </row>
    <row r="73" spans="1:16" ht="13">
      <c r="A73" s="784" t="s">
        <v>2339</v>
      </c>
      <c r="B73" s="783"/>
      <c r="C73" s="783"/>
      <c r="D73" s="783"/>
      <c r="E73" s="783"/>
      <c r="F73" s="783"/>
      <c r="G73" s="783"/>
      <c r="H73" s="783"/>
      <c r="I73" s="783"/>
      <c r="J73" s="783"/>
      <c r="K73" s="783"/>
      <c r="L73" s="783"/>
      <c r="M73" s="783"/>
      <c r="N73" s="783"/>
      <c r="O73" s="783"/>
      <c r="P73" s="783"/>
    </row>
    <row r="74" spans="1:3" ht="13">
      <c r="A74" s="788" t="s">
        <v>2314</v>
      </c>
      <c r="B74" s="789" t="s">
        <v>2315</v>
      </c>
      <c r="C74" s="805" t="s">
        <v>2456</v>
      </c>
    </row>
    <row r="75" spans="1:3">
      <c r="A75" s="787"/>
      <c r="B75" s="785"/>
      <c r="C75" s="806" t="s">
        <v>2434</v>
      </c>
    </row>
    <row r="76" spans="1:3">
      <c r="A76" s="787"/>
      <c r="B76" s="785"/>
      <c r="C76" s="785"/>
    </row>
    <row r="77" spans="1:3">
      <c r="A77" s="787"/>
      <c r="B77" s="785"/>
      <c r="C77" s="785"/>
    </row>
    <row r="78" spans="1:3">
      <c r="A78" s="787"/>
      <c r="B78" s="785"/>
      <c r="C78" s="785"/>
    </row>
    <row r="79" spans="1:3">
      <c r="A79" s="787"/>
      <c r="B79" s="785"/>
      <c r="C79" s="785"/>
    </row>
    <row r="80" spans="1:3">
      <c r="A80" s="787"/>
      <c r="B80" s="785"/>
      <c r="C80" s="785"/>
    </row>
    <row r="81" spans="1:3">
      <c r="A81" s="787"/>
      <c r="B81" s="785"/>
      <c r="C81" s="785"/>
    </row>
    <row r="82" spans="1:3">
      <c r="A82" s="787"/>
      <c r="B82" s="785"/>
      <c r="C82" s="785"/>
    </row>
    <row r="83" spans="1:3">
      <c r="A83" s="787"/>
      <c r="B83" s="785"/>
      <c r="C83" s="785"/>
    </row>
    <row r="84" spans="1:3">
      <c r="A84" s="787"/>
      <c r="B84" s="785"/>
      <c r="C84" s="785"/>
    </row>
    <row r="85" spans="1:3">
      <c r="A85" s="787"/>
      <c r="B85" s="785"/>
      <c r="C85" s="785"/>
    </row>
    <row r="86" spans="1:3">
      <c r="A86" s="787"/>
      <c r="B86" s="785"/>
      <c r="C86" s="785"/>
    </row>
    <row r="87" spans="1:3">
      <c r="A87" s="787"/>
      <c r="B87" s="785"/>
      <c r="C87" s="785"/>
    </row>
    <row r="88" spans="1:3">
      <c r="A88" s="787"/>
      <c r="B88" s="785"/>
      <c r="C88" s="785"/>
    </row>
    <row r="89" spans="1:3">
      <c r="A89" s="787"/>
      <c r="B89" s="785"/>
      <c r="C89" s="785"/>
    </row>
    <row r="90" spans="1:3">
      <c r="A90" s="787"/>
      <c r="B90" s="785"/>
      <c r="C90" s="785"/>
    </row>
    <row r="91" spans="1:3">
      <c r="A91" s="787"/>
      <c r="B91" s="785"/>
      <c r="C91" s="785"/>
    </row>
    <row r="92" spans="1:3">
      <c r="A92" s="787"/>
      <c r="B92" s="785"/>
      <c r="C92" s="785"/>
    </row>
    <row r="93" spans="1:3">
      <c r="A93" s="787"/>
      <c r="B93" s="785"/>
      <c r="C93" s="785"/>
    </row>
    <row r="94" spans="1:3">
      <c r="A94" s="787"/>
      <c r="B94" s="785"/>
      <c r="C94" s="785"/>
    </row>
    <row r="95" spans="1:3">
      <c r="A95" s="787"/>
      <c r="B95" s="785"/>
      <c r="C95" s="785"/>
    </row>
    <row r="96" spans="1:3">
      <c r="A96" s="787"/>
      <c r="B96" s="785"/>
      <c r="C96" s="785"/>
    </row>
    <row r="97" spans="1:3">
      <c r="A97" s="787"/>
      <c r="B97" s="785"/>
      <c r="C97" s="785"/>
    </row>
    <row r="98" spans="1:3">
      <c r="A98" s="787"/>
      <c r="B98" s="785"/>
      <c r="C98" s="785"/>
    </row>
    <row r="99" spans="1:3">
      <c r="A99" s="787"/>
      <c r="B99" s="785"/>
      <c r="C99" s="785"/>
    </row>
    <row r="100" spans="1:3">
      <c r="A100" s="787"/>
      <c r="B100" s="785"/>
      <c r="C100" s="785"/>
    </row>
    <row r="101" spans="1:3">
      <c r="A101" s="787"/>
      <c r="B101" s="785"/>
      <c r="C101" s="785"/>
    </row>
    <row r="102" spans="1:2">
      <c r="A102" s="787"/>
      <c r="B102" s="785"/>
    </row>
  </sheetData>
  <mergeCells count="13">
    <mergeCell ref="A63:D63"/>
    <mergeCell ref="B31:G31"/>
    <mergeCell ref="B30:G30"/>
    <mergeCell ref="B40:G40"/>
    <mergeCell ref="B39:G39"/>
    <mergeCell ref="B38:G38"/>
    <mergeCell ref="B37:G37"/>
    <mergeCell ref="B36:G36"/>
    <mergeCell ref="B35:G35"/>
    <mergeCell ref="B34:G34"/>
    <mergeCell ref="B33:G33"/>
    <mergeCell ref="B32:G32"/>
    <mergeCell ref="B43:C43"/>
  </mergeCells>
  <dataValidations count="1">
    <dataValidation type="list" allowBlank="1" showInputMessage="1" showErrorMessage="1" sqref="P46:P50 P13:P18 P3:P9 P31:P40 P64:P71 P58:P62 P52:P56 P22:P26">
      <formula1>"Research Cost A, Research Cost B, Service Support Cost, Treatment Cost, Excess Treatment Cost"</formula1>
    </dataValidation>
  </dataValidations>
  <pageMargins left="0.7" right="0.7" top="0.75" bottom="0.75" header="0.3" footer="0.3"/>
  <pageSetup paperSize="9" orientation="portrait"/>
  <headerFooter scaleWithDoc="1" alignWithMargins="0" differentFirst="0" differentOddEven="0"/>
  <legacyDrawing r:id="rId2"/>
  <extLst/>
</worksheet>
</file>

<file path=xl/worksheets/sheet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8">
    <tabColor rgb="FFFF0000"/>
  </sheetPr>
  <dimension ref="A1:BX97"/>
  <sheetViews>
    <sheetView topLeftCell="A1" zoomScale="60" view="normal" workbookViewId="0">
      <pane xSplit="1" ySplit="6" topLeftCell="B7" activePane="bottomRight" state="frozen"/>
      <selection pane="bottomRight" activeCell="E12" sqref="E12"/>
    </sheetView>
  </sheetViews>
  <sheetFormatPr defaultColWidth="9.1796875" defaultRowHeight="13"/>
  <cols>
    <col min="1" max="1" width="46.5703125" style="183" customWidth="1"/>
    <col min="2" max="2" width="21.84765625" style="183" customWidth="1"/>
    <col min="3" max="3" width="19.7109375" style="183" customWidth="1"/>
    <col min="4" max="4" width="11.7109375" style="183" customWidth="1"/>
    <col min="5" max="5" width="11.27734375" style="183" customWidth="1"/>
    <col min="6" max="6" width="10.84765625" style="183" customWidth="1"/>
    <col min="7" max="7" width="18.140625" style="183" customWidth="1"/>
    <col min="8" max="8" width="13.84765625" style="183" customWidth="1"/>
    <col min="9" max="42" width="11.27734375" style="183" customWidth="1"/>
    <col min="43" max="43" width="6" style="183" bestFit="1" customWidth="1"/>
    <col min="44" max="44" width="15.27734375" style="183" customWidth="1"/>
    <col min="45" max="47" width="12.84765625" style="183" customWidth="1"/>
    <col min="48" max="48" width="12.41796875" style="183" customWidth="1"/>
    <col min="49" max="49" width="10.84765625" style="183" customWidth="1"/>
    <col min="50" max="53" width="9.140625" style="183" customWidth="1"/>
    <col min="54" max="68" width="9.140625" style="183" hidden="1" customWidth="1"/>
    <col min="69" max="69" width="11.41796875" style="183" hidden="1" customWidth="1"/>
    <col min="70" max="72" width="9.140625" style="183" hidden="1" customWidth="1"/>
    <col min="73" max="73" width="14.84765625" style="183" hidden="1" customWidth="1"/>
    <col min="74" max="76" width="9.140625" style="183" hidden="1" customWidth="1"/>
    <col min="77" max="16384" width="9.140625" style="183" customWidth="1"/>
  </cols>
  <sheetData>
    <row r="1" spans="1:2" ht="26.25" customHeight="1">
      <c r="A1" s="702" t="s">
        <v>52</v>
      </c>
      <c r="B1" s="703">
        <f>AU46+AU81</f>
        <v>0</v>
      </c>
    </row>
    <row r="2" spans="1:2" ht="20.25" customHeight="1">
      <c r="A2" s="704" t="s">
        <v>45</v>
      </c>
      <c r="B2" s="506">
        <f>H91</f>
        <v>0</v>
      </c>
    </row>
    <row r="3" spans="1:33" ht="27" customHeight="1">
      <c r="A3" s="705" t="s">
        <v>2291</v>
      </c>
      <c r="B3" s="706">
        <f>SUMIFS(AU7:AU45,B7:B45,"Research Cost A")+SUMIFS(AU55:AU81,B55:B81,"Research Cost A")+SUMIFS(AU7:AU45,B7:B45,"Research Cost B")+SUMIFS(AU55:AU81,B55:B81,"Research Cost B")</f>
        <v>0</v>
      </c>
      <c r="D3" s="185"/>
      <c r="E3" s="185"/>
      <c r="F3" s="185"/>
      <c r="G3" s="186"/>
      <c r="H3" s="185"/>
      <c r="I3" s="185"/>
      <c r="J3" s="185"/>
      <c r="M3" s="185"/>
      <c r="N3" s="185"/>
      <c r="AF3" s="185"/>
      <c r="AG3" s="185"/>
    </row>
    <row r="4" spans="1:53" ht="28.5" customHeight="1">
      <c r="A4" s="505" t="b">
        <f>B1=AR91</f>
        <v>1</v>
      </c>
      <c r="B4" s="187"/>
      <c r="C4" s="185"/>
      <c r="D4" s="185"/>
      <c r="E4" s="185"/>
      <c r="F4" s="185"/>
      <c r="G4" s="188"/>
      <c r="BA4" s="432"/>
    </row>
    <row r="5" spans="1:53" ht="31">
      <c r="A5" s="187" t="s">
        <v>23</v>
      </c>
      <c r="C5" s="431"/>
      <c r="D5" s="431"/>
      <c r="E5" s="431"/>
      <c r="F5" s="431"/>
      <c r="H5" s="314" t="s">
        <v>2149</v>
      </c>
      <c r="I5" s="314" t="s">
        <v>2133</v>
      </c>
      <c r="J5" s="314" t="s">
        <v>2134</v>
      </c>
      <c r="K5" s="314" t="s">
        <v>2144</v>
      </c>
      <c r="L5" s="314" t="s">
        <v>2145</v>
      </c>
      <c r="M5" s="314" t="s">
        <v>2146</v>
      </c>
      <c r="N5" s="314" t="s">
        <v>2147</v>
      </c>
      <c r="O5" s="314" t="s">
        <v>2148</v>
      </c>
      <c r="P5" s="314" t="s">
        <v>1942</v>
      </c>
      <c r="Q5" s="314" t="s">
        <v>1943</v>
      </c>
      <c r="R5" s="314" t="s">
        <v>1944</v>
      </c>
      <c r="S5" s="314" t="s">
        <v>2100</v>
      </c>
      <c r="T5" s="314" t="s">
        <v>2101</v>
      </c>
      <c r="U5" s="314" t="s">
        <v>2102</v>
      </c>
      <c r="V5" s="314" t="s">
        <v>2103</v>
      </c>
      <c r="W5" s="314" t="s">
        <v>2104</v>
      </c>
      <c r="X5" s="314" t="s">
        <v>2105</v>
      </c>
      <c r="Y5" s="314" t="s">
        <v>2106</v>
      </c>
      <c r="Z5" s="314" t="s">
        <v>2107</v>
      </c>
      <c r="AA5" s="314" t="s">
        <v>2108</v>
      </c>
      <c r="AB5" s="314" t="s">
        <v>2109</v>
      </c>
      <c r="AC5" s="314" t="s">
        <v>2110</v>
      </c>
      <c r="AD5" s="314" t="s">
        <v>2111</v>
      </c>
      <c r="AE5" s="314" t="s">
        <v>2112</v>
      </c>
      <c r="AF5" s="314" t="s">
        <v>2113</v>
      </c>
      <c r="AG5" s="314" t="s">
        <v>2114</v>
      </c>
      <c r="AH5" s="314" t="s">
        <v>2115</v>
      </c>
      <c r="AI5" s="314" t="s">
        <v>2116</v>
      </c>
      <c r="AJ5" s="314" t="s">
        <v>2117</v>
      </c>
      <c r="AK5" s="314" t="s">
        <v>2118</v>
      </c>
      <c r="AL5" s="314" t="s">
        <v>2119</v>
      </c>
      <c r="AM5" s="314"/>
      <c r="AN5" s="314"/>
      <c r="AO5" s="314"/>
      <c r="AP5" s="314"/>
      <c r="AQ5" s="438"/>
      <c r="AU5" s="707" t="s">
        <v>2292</v>
      </c>
      <c r="BA5" s="349"/>
    </row>
    <row r="6" spans="1:72" s="432" customFormat="1" ht="39">
      <c r="A6" s="453" t="s">
        <v>0</v>
      </c>
      <c r="B6" s="430" t="s">
        <v>2059</v>
      </c>
      <c r="C6" s="430" t="s">
        <v>1968</v>
      </c>
      <c r="D6" s="430" t="s">
        <v>1969</v>
      </c>
      <c r="E6" s="430" t="s">
        <v>9</v>
      </c>
      <c r="F6" s="430" t="s">
        <v>8</v>
      </c>
      <c r="G6" s="472" t="s">
        <v>2</v>
      </c>
      <c r="H6" s="430" t="s">
        <v>58</v>
      </c>
      <c r="I6" s="430" t="s">
        <v>56</v>
      </c>
      <c r="J6" s="430" t="s">
        <v>15</v>
      </c>
      <c r="K6" s="430" t="s">
        <v>16</v>
      </c>
      <c r="L6" s="430" t="s">
        <v>57</v>
      </c>
      <c r="M6" s="430" t="s">
        <v>17</v>
      </c>
      <c r="N6" s="430" t="s">
        <v>18</v>
      </c>
      <c r="O6" s="430" t="s">
        <v>39</v>
      </c>
      <c r="P6" s="430" t="s">
        <v>61</v>
      </c>
      <c r="Q6" s="430" t="s">
        <v>1860</v>
      </c>
      <c r="R6" s="430" t="s">
        <v>1861</v>
      </c>
      <c r="S6" s="430" t="s">
        <v>1862</v>
      </c>
      <c r="T6" s="430" t="s">
        <v>1863</v>
      </c>
      <c r="U6" s="430" t="s">
        <v>1864</v>
      </c>
      <c r="V6" s="430" t="s">
        <v>1865</v>
      </c>
      <c r="W6" s="430" t="s">
        <v>1866</v>
      </c>
      <c r="X6" s="430" t="s">
        <v>1867</v>
      </c>
      <c r="Y6" s="430" t="s">
        <v>1868</v>
      </c>
      <c r="Z6" s="430" t="s">
        <v>1869</v>
      </c>
      <c r="AA6" s="430" t="s">
        <v>1870</v>
      </c>
      <c r="AB6" s="430" t="s">
        <v>1902</v>
      </c>
      <c r="AC6" s="430" t="s">
        <v>1903</v>
      </c>
      <c r="AD6" s="430" t="s">
        <v>1904</v>
      </c>
      <c r="AE6" s="430" t="s">
        <v>1948</v>
      </c>
      <c r="AF6" s="430" t="s">
        <v>1949</v>
      </c>
      <c r="AG6" s="430" t="s">
        <v>1950</v>
      </c>
      <c r="AH6" s="430" t="s">
        <v>1951</v>
      </c>
      <c r="AI6" s="430" t="s">
        <v>1952</v>
      </c>
      <c r="AJ6" s="430" t="s">
        <v>1953</v>
      </c>
      <c r="AK6" s="430" t="s">
        <v>1954</v>
      </c>
      <c r="AL6" s="430" t="s">
        <v>1955</v>
      </c>
      <c r="AM6" s="430" t="s">
        <v>1956</v>
      </c>
      <c r="AN6" s="430" t="s">
        <v>1957</v>
      </c>
      <c r="AO6" s="430" t="s">
        <v>1958</v>
      </c>
      <c r="AP6" s="430" t="s">
        <v>1959</v>
      </c>
      <c r="AQ6" s="426"/>
      <c r="AR6" s="436" t="s">
        <v>3</v>
      </c>
      <c r="AS6" s="430" t="s">
        <v>5</v>
      </c>
      <c r="AT6" s="430" t="s">
        <v>1852</v>
      </c>
      <c r="AU6" s="430" t="s">
        <v>2251</v>
      </c>
      <c r="AV6" s="183"/>
      <c r="BA6" s="349"/>
      <c r="BC6" s="430" t="s">
        <v>3</v>
      </c>
      <c r="BD6" s="430" t="s">
        <v>5</v>
      </c>
      <c r="BE6" s="430" t="s">
        <v>1852</v>
      </c>
      <c r="BF6" s="430" t="s">
        <v>4</v>
      </c>
      <c r="BG6" s="432" t="s">
        <v>1983</v>
      </c>
      <c r="BH6" s="432" t="s">
        <v>2021</v>
      </c>
      <c r="BI6" s="432" t="s">
        <v>2022</v>
      </c>
      <c r="BJ6" s="432" t="s">
        <v>1984</v>
      </c>
      <c r="BL6" s="432" t="s">
        <v>1968</v>
      </c>
      <c r="BM6" s="432" t="s">
        <v>1969</v>
      </c>
      <c r="BN6" s="432" t="s">
        <v>9</v>
      </c>
      <c r="BO6" s="432" t="s">
        <v>8</v>
      </c>
      <c r="BQ6" s="432" t="s">
        <v>1968</v>
      </c>
      <c r="BR6" s="432" t="s">
        <v>1969</v>
      </c>
      <c r="BS6" s="432" t="s">
        <v>9</v>
      </c>
      <c r="BT6" s="432" t="s">
        <v>8</v>
      </c>
    </row>
    <row r="7" spans="1:75">
      <c r="A7" s="8"/>
      <c r="B7" s="8" t="s">
        <v>2013</v>
      </c>
      <c r="C7" s="181"/>
      <c r="D7" s="181"/>
      <c r="E7" s="181"/>
      <c r="F7" s="181"/>
      <c r="G7" s="532">
        <f>IF(ISERROR((C7*'Study Information &amp; rates'!$B$101+D7*'Study Information &amp; rates'!$C$101+E7*'Study Information &amp; rates'!$D$101+F7*'Study Information &amp; rates'!$F$101)),0,(C7*'Study Information &amp; rates'!$B$101+D7*'Study Information &amp; rates'!$C$101+E7*'Study Information &amp; rates'!$D$101+F7*'Study Information &amp; rates'!$F$101))</f>
        <v>0</v>
      </c>
      <c r="H7" s="8"/>
      <c r="I7" s="8"/>
      <c r="J7" s="8"/>
      <c r="K7" s="8"/>
      <c r="L7" s="8"/>
      <c r="M7" s="8"/>
      <c r="N7" s="8"/>
      <c r="O7" s="319"/>
      <c r="P7" s="319"/>
      <c r="Q7" s="319"/>
      <c r="R7" s="319"/>
      <c r="S7" s="319"/>
      <c r="T7" s="319"/>
      <c r="U7" s="319"/>
      <c r="V7" s="319"/>
      <c r="W7" s="319"/>
      <c r="X7" s="317"/>
      <c r="Y7" s="312"/>
      <c r="Z7" s="312"/>
      <c r="AA7" s="312"/>
      <c r="AB7" s="312"/>
      <c r="AC7" s="8"/>
      <c r="AD7" s="8"/>
      <c r="AE7" s="8"/>
      <c r="AF7" s="8"/>
      <c r="AG7" s="8"/>
      <c r="AH7" s="8"/>
      <c r="AI7" s="8"/>
      <c r="AJ7" s="8"/>
      <c r="AK7" s="8"/>
      <c r="AL7" s="8"/>
      <c r="AM7" s="8"/>
      <c r="AN7" s="8"/>
      <c r="AO7" s="8"/>
      <c r="AP7" s="456"/>
      <c r="AQ7" s="424"/>
      <c r="AR7" s="538">
        <f>(SUM(H7:AP7))*G7</f>
        <v>0</v>
      </c>
      <c r="AS7" s="440">
        <f>IF('Study Information &amp; rates'!$B$44="Yes",AR7*0.287,0)</f>
        <v>0</v>
      </c>
      <c r="AT7" s="440">
        <f>IF('Study Information &amp; rates'!$B$44="No",0,AR7*0.05)</f>
        <v>0</v>
      </c>
      <c r="AU7" s="440">
        <f>IF('Study Information &amp; rates'!$B$45="No",AR7+AS7+AT7,'Set-up and other costs'!$B$18*(AR7+AS7+AT7))</f>
        <v>0</v>
      </c>
      <c r="BA7" s="349"/>
      <c r="BC7" s="449">
        <f>H7*G7</f>
        <v>0</v>
      </c>
      <c r="BD7" s="449">
        <f>IF('Study Information &amp; rates'!$B$44='Study Information &amp; rates'!$V$12,BC7*0.287,0)</f>
        <v>0</v>
      </c>
      <c r="BE7" s="449">
        <f>IF((Reconciliation!$C$15)&gt;5000,BC7*0.05,0)</f>
        <v>0</v>
      </c>
      <c r="BF7" s="449">
        <f>BC7+BD7+BE7</f>
        <v>0</v>
      </c>
      <c r="BG7" s="183" t="b">
        <f>IF($B7='Look Up'!$A$5,$H7)</f>
        <v>0</v>
      </c>
      <c r="BH7" s="183">
        <f>IF($B7='Look Up'!$A$6,$H7)</f>
        <v>0</v>
      </c>
      <c r="BI7" s="183" t="b">
        <f>IF($B7='Look Up'!$A$7,$H7)</f>
        <v>0</v>
      </c>
      <c r="BJ7" s="183" t="b">
        <f>IF($B7='Look Up'!$A$7,$H7)</f>
        <v>0</v>
      </c>
      <c r="BL7" s="183">
        <f>IF($B7='Look Up'!$A$6,$C7*$H7,0)+IF($B7='Look Up'!$A$7,$C7*$H7,0)</f>
        <v>0</v>
      </c>
      <c r="BM7" s="183">
        <f>IF($B7='Look Up'!$A$6,$D7*$H7,0)+IF($B7='Look Up'!$A$7,$D7*$H7,0)</f>
        <v>0</v>
      </c>
      <c r="BN7" s="183">
        <f>IF($B7='Look Up'!$A$6,$E7*$H7,0)+IF($B7='Look Up'!$A$7,$E7*$H7,0)</f>
        <v>0</v>
      </c>
      <c r="BO7" s="183">
        <f>IF($B7='Look Up'!$A$6,$F7*$H7,0)+IF($B7='Look Up'!$A$7,$F7*$H7,0)</f>
        <v>0</v>
      </c>
      <c r="BQ7" s="470">
        <f>$C7*'Study Information &amp; rates'!$B$101*IF('Study Information &amp; rates'!$B$44='Study Information &amp; rates'!$V$12,(SUM($H7:$AP7)*1.287),(SUM($H7:$AP7)))</f>
        <v>0</v>
      </c>
      <c r="BR7" s="470">
        <f>$D7*'Study Information &amp; rates'!$C$101*IF('Study Information &amp; rates'!$B$44='Study Information &amp; rates'!$V$12,(SUM($H7:$AP7)*1.287),(SUM($H7:$AP7)))</f>
        <v>0</v>
      </c>
      <c r="BS7" s="470">
        <f>$E7*'Study Information &amp; rates'!$D$101*IF('Study Information &amp; rates'!$B$44='Study Information &amp; rates'!$V$12,(SUM($H7:$AP7)*1.287),(SUM($H7:$AP7)))</f>
        <v>0</v>
      </c>
      <c r="BT7" s="470">
        <f>$F7*'Study Information &amp; rates'!$F$101*IF('Study Information &amp; rates'!$B$44='Study Information &amp; rates'!$V$12,(SUM($H7:$AP7)*1.287),(SUM($H7:$AP7)))</f>
        <v>0</v>
      </c>
      <c r="BU7" s="471">
        <f>AR7+AS7</f>
        <v>0</v>
      </c>
      <c r="BW7" s="183">
        <f>SUM(H7:AP7)</f>
        <v>0</v>
      </c>
    </row>
    <row r="8" spans="1:75">
      <c r="A8" s="8"/>
      <c r="B8" s="8" t="s">
        <v>2013</v>
      </c>
      <c r="C8" s="181"/>
      <c r="D8" s="181"/>
      <c r="E8" s="181"/>
      <c r="F8" s="181"/>
      <c r="G8" s="532">
        <f>IF(ISERROR((C8*'Study Information &amp; rates'!$B$101+D8*'Study Information &amp; rates'!$C$101+E8*'Study Information &amp; rates'!$D$101+F8*'Study Information &amp; rates'!$F$101)),0,(C8*'Study Information &amp; rates'!$B$101+D8*'Study Information &amp; rates'!$C$101+E8*'Study Information &amp; rates'!$D$101+F8*'Study Information &amp; rates'!$F$101))</f>
        <v>0</v>
      </c>
      <c r="H8" s="8"/>
      <c r="I8" s="8"/>
      <c r="J8" s="8"/>
      <c r="K8" s="8"/>
      <c r="L8" s="8"/>
      <c r="M8" s="8"/>
      <c r="N8" s="8"/>
      <c r="O8" s="319"/>
      <c r="P8" s="319"/>
      <c r="Q8" s="319"/>
      <c r="R8" s="319"/>
      <c r="S8" s="319"/>
      <c r="T8" s="319"/>
      <c r="U8" s="319"/>
      <c r="V8" s="319"/>
      <c r="W8" s="319"/>
      <c r="X8" s="317"/>
      <c r="Y8" s="312"/>
      <c r="Z8" s="312"/>
      <c r="AA8" s="312"/>
      <c r="AB8" s="312"/>
      <c r="AC8" s="8"/>
      <c r="AD8" s="8"/>
      <c r="AE8" s="8"/>
      <c r="AF8" s="8"/>
      <c r="AG8" s="8"/>
      <c r="AH8" s="8"/>
      <c r="AI8" s="8"/>
      <c r="AJ8" s="8"/>
      <c r="AK8" s="8"/>
      <c r="AL8" s="8"/>
      <c r="AM8" s="8"/>
      <c r="AN8" s="8"/>
      <c r="AO8" s="8"/>
      <c r="AP8" s="456"/>
      <c r="AQ8" s="424"/>
      <c r="AR8" s="538">
        <f>(SUM(H8:AP8))*G8</f>
        <v>0</v>
      </c>
      <c r="AS8" s="440">
        <f>IF('Study Information &amp; rates'!$B$44="Yes",AR8*0.287,0)</f>
        <v>0</v>
      </c>
      <c r="AT8" s="440">
        <f>IF('Study Information &amp; rates'!$B$44="No",0,AR8*0.05)</f>
        <v>0</v>
      </c>
      <c r="AU8" s="440">
        <f>IF('Study Information &amp; rates'!$B$45="No",AR8+AS8+AT8,'Set-up and other costs'!$B$18*(AR8+AS8+AT8))</f>
        <v>0</v>
      </c>
      <c r="AW8" s="471"/>
      <c r="BA8" s="349"/>
      <c r="BC8" s="449">
        <f>H8*G8</f>
        <v>0</v>
      </c>
      <c r="BD8" s="449">
        <f>IF('Study Information &amp; rates'!$B$44='Study Information &amp; rates'!$V$12,BC8*0.287,0)</f>
        <v>0</v>
      </c>
      <c r="BE8" s="449">
        <f>IF((Reconciliation!$C$15)&gt;5000,BC8*0.05,0)</f>
        <v>0</v>
      </c>
      <c r="BF8" s="449">
        <f>BC8+BD8+BE8</f>
        <v>0</v>
      </c>
      <c r="BG8" s="183" t="b">
        <f>IF($B8='Look Up'!$A$5,$H8)</f>
        <v>0</v>
      </c>
      <c r="BH8" s="183">
        <f>IF($B8='Look Up'!$A$6,$H8)</f>
        <v>0</v>
      </c>
      <c r="BI8" s="183" t="b">
        <f>IF($B8='Look Up'!$A$7,$H8)</f>
        <v>0</v>
      </c>
      <c r="BJ8" s="183" t="b">
        <f>IF($B8='Look Up'!$A$7,$H8)</f>
        <v>0</v>
      </c>
      <c r="BL8" s="183">
        <f>IF($B8='Look Up'!$A$6,$C8*$H8,0)+IF($B8='Look Up'!$A$7,$C8*$H8,0)</f>
        <v>0</v>
      </c>
      <c r="BM8" s="183">
        <f>IF($B8='Look Up'!$A$6,$D8*$H8,0)+IF($B8='Look Up'!$A$7,$D8*$H8,0)</f>
        <v>0</v>
      </c>
      <c r="BN8" s="183">
        <f>IF($B8='Look Up'!$A$6,$E8*$H8,0)+IF($B8='Look Up'!$A$7,$E8*$H8,0)</f>
        <v>0</v>
      </c>
      <c r="BO8" s="183">
        <f>IF($B8='Look Up'!$A$6,$F8*$H8,0)+IF($B8='Look Up'!$A$7,$F8*$H8,0)</f>
        <v>0</v>
      </c>
      <c r="BQ8" s="470">
        <f>$C8*'Study Information &amp; rates'!$B$101*IF('Study Information &amp; rates'!$B$44='Study Information &amp; rates'!$V$12,(SUM($H8:$AP8)*1.287),(SUM($H8:$AP8)))</f>
        <v>0</v>
      </c>
      <c r="BR8" s="470">
        <f>$D8*'Study Information &amp; rates'!$C$101*IF('Study Information &amp; rates'!$B$44='Study Information &amp; rates'!$V$12,(SUM($H8:$AP8)*1.287),(SUM($H8:$AP8)))</f>
        <v>0</v>
      </c>
      <c r="BS8" s="470">
        <f>$E8*'Study Information &amp; rates'!$D$101*IF('Study Information &amp; rates'!$B$44='Study Information &amp; rates'!$V$12,(SUM($H8:$AP8)*1.287),(SUM($H8:$AP8)))</f>
        <v>0</v>
      </c>
      <c r="BT8" s="470">
        <f>$F8*'Study Information &amp; rates'!$F$101*IF('Study Information &amp; rates'!$B$44='Study Information &amp; rates'!$V$12,(SUM($H8:$AP8)*1.287),(SUM($H8:$AP8)))</f>
        <v>0</v>
      </c>
      <c r="BU8" s="471">
        <f>AR8+AS8</f>
        <v>0</v>
      </c>
      <c r="BW8" s="183">
        <f>SUM(H8:AP8)</f>
        <v>0</v>
      </c>
    </row>
    <row r="9" spans="1:75">
      <c r="A9" s="8"/>
      <c r="B9" s="8"/>
      <c r="C9" s="181"/>
      <c r="D9" s="181"/>
      <c r="E9" s="181"/>
      <c r="F9" s="181"/>
      <c r="G9" s="532">
        <f>IF(ISERROR((C9*'Study Information &amp; rates'!$B$101+D9*'Study Information &amp; rates'!$C$101+E9*'Study Information &amp; rates'!$D$101+F9*'Study Information &amp; rates'!$F$101)),0,(C9*'Study Information &amp; rates'!$B$101+D9*'Study Information &amp; rates'!$C$101+E9*'Study Information &amp; rates'!$D$101+F9*'Study Information &amp; rates'!$F$101))</f>
        <v>0</v>
      </c>
      <c r="H9" s="8"/>
      <c r="I9" s="8"/>
      <c r="J9" s="8"/>
      <c r="K9" s="8"/>
      <c r="L9" s="8"/>
      <c r="M9" s="8"/>
      <c r="N9" s="8"/>
      <c r="O9" s="319"/>
      <c r="P9" s="319"/>
      <c r="Q9" s="319"/>
      <c r="R9" s="319"/>
      <c r="S9" s="319"/>
      <c r="T9" s="319"/>
      <c r="U9" s="319"/>
      <c r="V9" s="319"/>
      <c r="W9" s="319"/>
      <c r="X9" s="317"/>
      <c r="Y9" s="312"/>
      <c r="Z9" s="312"/>
      <c r="AA9" s="312"/>
      <c r="AB9" s="312"/>
      <c r="AC9" s="8"/>
      <c r="AD9" s="8"/>
      <c r="AE9" s="8"/>
      <c r="AF9" s="8"/>
      <c r="AG9" s="8"/>
      <c r="AH9" s="8"/>
      <c r="AI9" s="8"/>
      <c r="AJ9" s="8"/>
      <c r="AK9" s="8"/>
      <c r="AL9" s="8"/>
      <c r="AM9" s="8"/>
      <c r="AN9" s="8"/>
      <c r="AO9" s="8"/>
      <c r="AP9" s="456"/>
      <c r="AQ9" s="424"/>
      <c r="AR9" s="538">
        <f>(SUM(H9:AP9))*G9</f>
        <v>0</v>
      </c>
      <c r="AS9" s="440">
        <f>IF('Study Information &amp; rates'!$B$44="Yes",AR9*0.287,0)</f>
        <v>0</v>
      </c>
      <c r="AT9" s="440">
        <f>IF('Study Information &amp; rates'!$B$44="No",0,AR9*0.05)</f>
        <v>0</v>
      </c>
      <c r="AU9" s="440">
        <f>IF('Study Information &amp; rates'!$B$45="No",AR9+AS9+AT9,'Set-up and other costs'!$B$18*(AR9+AS9+AT9))</f>
        <v>0</v>
      </c>
      <c r="AW9" s="471"/>
      <c r="BC9" s="449">
        <f>H9*G9</f>
        <v>0</v>
      </c>
      <c r="BD9" s="449">
        <f>IF('Study Information &amp; rates'!$B$44='Study Information &amp; rates'!$V$12,BC9*0.287,0)</f>
        <v>0</v>
      </c>
      <c r="BE9" s="449">
        <f>IF((Reconciliation!$C$15)&gt;5000,BC9*0.05,0)</f>
        <v>0</v>
      </c>
      <c r="BF9" s="449">
        <f>BC9+BD9+BE9</f>
        <v>0</v>
      </c>
      <c r="BG9" s="183" t="b">
        <f>IF($B9='Look Up'!$A$5,$H9)</f>
        <v>0</v>
      </c>
      <c r="BH9" s="183" t="b">
        <f>IF($B9='Look Up'!$A$6,$H9)</f>
        <v>0</v>
      </c>
      <c r="BI9" s="183" t="b">
        <f>IF($B9='Look Up'!$A$7,$H9)</f>
        <v>0</v>
      </c>
      <c r="BJ9" s="183" t="b">
        <f>IF($B9='Look Up'!$A$7,$H9)</f>
        <v>0</v>
      </c>
      <c r="BL9" s="183">
        <f>IF($B9='Look Up'!$A$6,$C9*$H9,0)+IF($B9='Look Up'!$A$7,$C9*$H9,0)</f>
        <v>0</v>
      </c>
      <c r="BM9" s="183">
        <f>IF($B9='Look Up'!$A$6,$D9*$H9,0)+IF($B9='Look Up'!$A$7,$D9*$H9,0)</f>
        <v>0</v>
      </c>
      <c r="BN9" s="183">
        <f>IF($B9='Look Up'!$A$6,$E9*$H9,0)+IF($B9='Look Up'!$A$7,$E9*$H9,0)</f>
        <v>0</v>
      </c>
      <c r="BO9" s="183">
        <f>IF($B9='Look Up'!$A$6,$F9*$H9,0)+IF($B9='Look Up'!$A$7,$F9*$H9,0)</f>
        <v>0</v>
      </c>
      <c r="BQ9" s="470">
        <f>$C9*'Study Information &amp; rates'!$B$101*IF('Study Information &amp; rates'!$B$44='Study Information &amp; rates'!$V$12,(SUM($H9:$AP9)*1.287),(SUM($H9:$AP9)))</f>
        <v>0</v>
      </c>
      <c r="BR9" s="470">
        <f>$D9*'Study Information &amp; rates'!$C$101*IF('Study Information &amp; rates'!$B$44='Study Information &amp; rates'!$V$12,(SUM($H9:$AP9)*1.287),(SUM($H9:$AP9)))</f>
        <v>0</v>
      </c>
      <c r="BS9" s="470">
        <f>$E9*'Study Information &amp; rates'!$D$101*IF('Study Information &amp; rates'!$B$44='Study Information &amp; rates'!$V$12,(SUM($H9:$AP9)*1.287),(SUM($H9:$AP9)))</f>
        <v>0</v>
      </c>
      <c r="BT9" s="470">
        <f>$F9*'Study Information &amp; rates'!$F$101*IF('Study Information &amp; rates'!$B$44='Study Information &amp; rates'!$V$12,(SUM($H9:$AP9)*1.287),(SUM($H9:$AP9)))</f>
        <v>0</v>
      </c>
      <c r="BU9" s="471">
        <f>AR9+AS9</f>
        <v>0</v>
      </c>
      <c r="BW9" s="183">
        <f>SUM(H9:AP9)</f>
        <v>0</v>
      </c>
    </row>
    <row r="10" spans="1:75">
      <c r="A10" s="8"/>
      <c r="B10" s="8"/>
      <c r="C10" s="181"/>
      <c r="D10" s="181"/>
      <c r="E10" s="181"/>
      <c r="F10" s="181"/>
      <c r="G10" s="532">
        <f>IF(ISERROR((C10*'Study Information &amp; rates'!$B$101+D10*'Study Information &amp; rates'!$C$101+E10*'Study Information &amp; rates'!$D$101+F10*'Study Information &amp; rates'!$F$101)),0,(C10*'Study Information &amp; rates'!$B$101+D10*'Study Information &amp; rates'!$C$101+E10*'Study Information &amp; rates'!$D$101+F10*'Study Information &amp; rates'!$F$101))</f>
        <v>0</v>
      </c>
      <c r="H10" s="8"/>
      <c r="I10" s="8"/>
      <c r="J10" s="8"/>
      <c r="K10" s="8"/>
      <c r="L10" s="8"/>
      <c r="M10" s="8"/>
      <c r="N10" s="8"/>
      <c r="O10" s="319"/>
      <c r="P10" s="319"/>
      <c r="Q10" s="319"/>
      <c r="R10" s="319"/>
      <c r="S10" s="319"/>
      <c r="T10" s="319"/>
      <c r="U10" s="319"/>
      <c r="V10" s="319"/>
      <c r="W10" s="319"/>
      <c r="X10" s="316"/>
      <c r="Y10" s="313"/>
      <c r="Z10" s="313"/>
      <c r="AA10" s="313"/>
      <c r="AB10" s="313"/>
      <c r="AC10" s="8"/>
      <c r="AD10" s="8"/>
      <c r="AE10" s="8"/>
      <c r="AF10" s="8"/>
      <c r="AG10" s="8"/>
      <c r="AH10" s="8"/>
      <c r="AI10" s="8"/>
      <c r="AJ10" s="8"/>
      <c r="AK10" s="8"/>
      <c r="AL10" s="8"/>
      <c r="AM10" s="8"/>
      <c r="AN10" s="8"/>
      <c r="AO10" s="8"/>
      <c r="AP10" s="456"/>
      <c r="AQ10" s="424"/>
      <c r="AR10" s="538">
        <f>(SUM(H10:AP10))*G10</f>
        <v>0</v>
      </c>
      <c r="AS10" s="440">
        <f>IF('Study Information &amp; rates'!$B$44="Yes",AR10*0.287,0)</f>
        <v>0</v>
      </c>
      <c r="AT10" s="440">
        <f>IF('Study Information &amp; rates'!$B$44="No",0,AR10*0.05)</f>
        <v>0</v>
      </c>
      <c r="AU10" s="440">
        <f>IF('Study Information &amp; rates'!$B$45="No",AR10+AS10+AT10,'Set-up and other costs'!$B$18*(AR10+AS10+AT10))</f>
        <v>0</v>
      </c>
      <c r="BA10" s="349"/>
      <c r="BC10" s="449">
        <f>H10*G10</f>
        <v>0</v>
      </c>
      <c r="BD10" s="449">
        <f>IF('Study Information &amp; rates'!$B$44='Study Information &amp; rates'!$V$12,BC10*0.287,0)</f>
        <v>0</v>
      </c>
      <c r="BE10" s="449">
        <f>IF((Reconciliation!$C$15)&gt;5000,BC10*0.05,0)</f>
        <v>0</v>
      </c>
      <c r="BF10" s="449">
        <f>BC10+BD10+BE10</f>
        <v>0</v>
      </c>
      <c r="BG10" s="183" t="b">
        <f>IF($B10='Look Up'!$A$5,$H10)</f>
        <v>0</v>
      </c>
      <c r="BH10" s="183" t="b">
        <f>IF($B10='Look Up'!$A$6,$H10)</f>
        <v>0</v>
      </c>
      <c r="BI10" s="183" t="b">
        <f>IF($B10='Look Up'!$A$7,$H10)</f>
        <v>0</v>
      </c>
      <c r="BJ10" s="183" t="b">
        <f>IF($B10='Look Up'!$A$7,$H10)</f>
        <v>0</v>
      </c>
      <c r="BL10" s="183">
        <f>IF($B10='Look Up'!$A$6,$E10*$H10,0)+IF($B10='Look Up'!$A$7,$E10*$H10,0)</f>
        <v>0</v>
      </c>
      <c r="BM10" s="183">
        <f>IF($B10='Look Up'!$A$6,$D10*$H10,0)+IF($B10='Look Up'!$A$7,$D10*$H10,0)</f>
        <v>0</v>
      </c>
      <c r="BN10" s="183">
        <f>IF($B10='Look Up'!$A$6,$E10*$H10,0)+IF($B10='Look Up'!$A$7,$E10*$H10,0)</f>
        <v>0</v>
      </c>
      <c r="BO10" s="183">
        <f>IF($B10='Look Up'!$A$6,$F10*$H10,0)+IF($B10='Look Up'!$A$7,$F10*$H10,0)</f>
        <v>0</v>
      </c>
      <c r="BQ10" s="470">
        <f>$C10*'Study Information &amp; rates'!$B$101*IF('Study Information &amp; rates'!$B$44='Study Information &amp; rates'!$V$12,(SUM($H10:$AP10)*1.287),(SUM($H10:$AP10)))</f>
        <v>0</v>
      </c>
      <c r="BR10" s="470">
        <f>$D10*'Study Information &amp; rates'!$C$101*IF('Study Information &amp; rates'!$B$44='Study Information &amp; rates'!$V$12,(SUM($H10:$AP10)*1.287),(SUM($H10:$AP10)))</f>
        <v>0</v>
      </c>
      <c r="BS10" s="470">
        <f>$E10*'Study Information &amp; rates'!$D$101*IF('Study Information &amp; rates'!$B$44='Study Information &amp; rates'!$V$12,(SUM($H10:$AP10)*1.287),(SUM($H10:$AP10)))</f>
        <v>0</v>
      </c>
      <c r="BT10" s="470">
        <f>$F10*'Study Information &amp; rates'!$F$101*IF('Study Information &amp; rates'!$B$44='Study Information &amp; rates'!$V$12,(SUM($H10:$AP10)*1.287),(SUM($H10:$AP10)))</f>
        <v>0</v>
      </c>
      <c r="BU10" s="471">
        <f>AR10+AS10</f>
        <v>0</v>
      </c>
      <c r="BW10" s="183">
        <f>SUM(H10:AP10)</f>
        <v>0</v>
      </c>
    </row>
    <row r="11" spans="1:75">
      <c r="A11" s="8"/>
      <c r="B11" s="8"/>
      <c r="C11" s="181"/>
      <c r="D11" s="181"/>
      <c r="E11" s="181"/>
      <c r="F11" s="181"/>
      <c r="G11" s="532">
        <f>IF(ISERROR((C11*'Study Information &amp; rates'!$B$101+D11*'Study Information &amp; rates'!$C$101+E11*'Study Information &amp; rates'!$D$101+F11*'Study Information &amp; rates'!$F$101)),0,(C11*'Study Information &amp; rates'!$B$101+D11*'Study Information &amp; rates'!$C$101+E11*'Study Information &amp; rates'!$D$101+F11*'Study Information &amp; rates'!$F$101))</f>
        <v>0</v>
      </c>
      <c r="H11" s="8"/>
      <c r="I11" s="448"/>
      <c r="J11" s="448"/>
      <c r="K11" s="448"/>
      <c r="L11" s="448"/>
      <c r="M11" s="448"/>
      <c r="N11" s="448"/>
      <c r="O11" s="319"/>
      <c r="P11" s="319"/>
      <c r="Q11" s="319"/>
      <c r="R11" s="319"/>
      <c r="S11" s="319"/>
      <c r="T11" s="319"/>
      <c r="U11" s="319"/>
      <c r="V11" s="319"/>
      <c r="W11" s="319"/>
      <c r="X11" s="316"/>
      <c r="Y11" s="313"/>
      <c r="Z11" s="313"/>
      <c r="AA11" s="313"/>
      <c r="AB11" s="313"/>
      <c r="AC11" s="8"/>
      <c r="AD11" s="8"/>
      <c r="AE11" s="8"/>
      <c r="AF11" s="8"/>
      <c r="AG11" s="8"/>
      <c r="AH11" s="8"/>
      <c r="AI11" s="8"/>
      <c r="AJ11" s="8"/>
      <c r="AK11" s="8"/>
      <c r="AL11" s="8"/>
      <c r="AM11" s="8"/>
      <c r="AN11" s="8"/>
      <c r="AO11" s="8"/>
      <c r="AP11" s="456"/>
      <c r="AQ11" s="424"/>
      <c r="AR11" s="538">
        <f>(SUM(H11:AP11))*G11</f>
        <v>0</v>
      </c>
      <c r="AS11" s="440">
        <f>IF('Study Information &amp; rates'!$B$44="Yes",AR11*0.287,0)</f>
        <v>0</v>
      </c>
      <c r="AT11" s="440">
        <f>IF('Study Information &amp; rates'!$B$44="No",0,AR11*0.05)</f>
        <v>0</v>
      </c>
      <c r="AU11" s="440">
        <f>IF('Study Information &amp; rates'!$B$45="No",AR11+AS11+AT11,'Set-up and other costs'!$B$18*(AR11+AS11+AT11))</f>
        <v>0</v>
      </c>
      <c r="BC11" s="449">
        <f>H11*G11</f>
        <v>0</v>
      </c>
      <c r="BD11" s="449">
        <f>IF('Study Information &amp; rates'!$B$44='Study Information &amp; rates'!$V$12,BC11*0.287,0)</f>
        <v>0</v>
      </c>
      <c r="BE11" s="449">
        <f>IF((Reconciliation!$C$15)&gt;5000,BC11*0.05,0)</f>
        <v>0</v>
      </c>
      <c r="BF11" s="449">
        <f>BC11+BD11+BE11</f>
        <v>0</v>
      </c>
      <c r="BG11" s="183" t="b">
        <f>IF($B11='Look Up'!$A$5,$H11)</f>
        <v>0</v>
      </c>
      <c r="BH11" s="183" t="b">
        <f>IF($B11='Look Up'!$A$6,$H11)</f>
        <v>0</v>
      </c>
      <c r="BI11" s="183" t="b">
        <f>IF($B11='Look Up'!$A$7,$H11)</f>
        <v>0</v>
      </c>
      <c r="BJ11" s="183" t="b">
        <f>IF($B11='Look Up'!$A$7,$H11)</f>
        <v>0</v>
      </c>
      <c r="BL11" s="183">
        <f>IF($B11='Look Up'!$A$6,$C11*$H11,0)+IF($B11='Look Up'!$A$7,$C11*$H11,0)</f>
        <v>0</v>
      </c>
      <c r="BM11" s="183">
        <f>IF($B11='Look Up'!$A$6,$D11*$H11,0)+IF($B11='Look Up'!$A$7,$D11*$H11,0)</f>
        <v>0</v>
      </c>
      <c r="BN11" s="183">
        <f>IF($B11='Look Up'!$A$6,$E11*$H11,0)+IF($B11='Look Up'!$A$7,$E11*$H11,0)</f>
        <v>0</v>
      </c>
      <c r="BO11" s="183">
        <f>IF($B11='Look Up'!$A$6,$F11*$H11,0)+IF($B11='Look Up'!$A$7,$F11*$H11,0)</f>
        <v>0</v>
      </c>
      <c r="BQ11" s="470">
        <f>$C11*'Study Information &amp; rates'!$B$101*IF('Study Information &amp; rates'!$B$44='Study Information &amp; rates'!$V$12,(SUM($H11:$AP11)*1.287),(SUM($H11:$AP11)))</f>
        <v>0</v>
      </c>
      <c r="BR11" s="470">
        <f>$D11*'Study Information &amp; rates'!$C$101*IF('Study Information &amp; rates'!$B$44='Study Information &amp; rates'!$V$12,(SUM($H11:$AP11)*1.287),(SUM($H11:$AP11)))</f>
        <v>0</v>
      </c>
      <c r="BS11" s="470">
        <f>$E11*'Study Information &amp; rates'!$D$101*IF('Study Information &amp; rates'!$B$44='Study Information &amp; rates'!$V$12,(SUM($H11:$AP11)*1.287),(SUM($H11:$AP11)))</f>
        <v>0</v>
      </c>
      <c r="BT11" s="470">
        <f>$F11*'Study Information &amp; rates'!$F$101*IF('Study Information &amp; rates'!$B$44='Study Information &amp; rates'!$V$12,(SUM($H11:$AP11)*1.287),(SUM($H11:$AP11)))</f>
        <v>0</v>
      </c>
      <c r="BU11" s="471">
        <f>AR11+AS11</f>
        <v>0</v>
      </c>
      <c r="BW11" s="183">
        <f>SUM(H11:AP11)</f>
        <v>0</v>
      </c>
    </row>
    <row r="12" spans="1:75" ht="27" customHeight="1">
      <c r="A12" s="8"/>
      <c r="B12" s="8"/>
      <c r="C12" s="181"/>
      <c r="D12" s="181"/>
      <c r="E12" s="181"/>
      <c r="F12" s="181"/>
      <c r="G12" s="532">
        <f>IF(ISERROR((C12*'Study Information &amp; rates'!$B$101+D12*'Study Information &amp; rates'!$C$101+E12*'Study Information &amp; rates'!$D$101+F12*'Study Information &amp; rates'!$F$101)),0,(C12*'Study Information &amp; rates'!$B$101+D12*'Study Information &amp; rates'!$C$101+E12*'Study Information &amp; rates'!$D$101+F12*'Study Information &amp; rates'!$F$101))</f>
        <v>0</v>
      </c>
      <c r="H12" s="8"/>
      <c r="I12" s="8"/>
      <c r="J12" s="8"/>
      <c r="K12" s="8"/>
      <c r="L12" s="8"/>
      <c r="M12" s="8"/>
      <c r="N12" s="8"/>
      <c r="O12" s="319"/>
      <c r="P12" s="319"/>
      <c r="Q12" s="319"/>
      <c r="R12" s="319"/>
      <c r="S12" s="319"/>
      <c r="T12" s="319"/>
      <c r="U12" s="319"/>
      <c r="V12" s="319"/>
      <c r="W12" s="319"/>
      <c r="X12" s="316"/>
      <c r="Y12" s="313"/>
      <c r="Z12" s="313"/>
      <c r="AA12" s="313"/>
      <c r="AB12" s="313"/>
      <c r="AC12" s="8"/>
      <c r="AD12" s="8"/>
      <c r="AE12" s="8"/>
      <c r="AF12" s="8"/>
      <c r="AG12" s="8"/>
      <c r="AH12" s="8"/>
      <c r="AI12" s="8"/>
      <c r="AJ12" s="8"/>
      <c r="AK12" s="8"/>
      <c r="AL12" s="8"/>
      <c r="AM12" s="8"/>
      <c r="AN12" s="8"/>
      <c r="AO12" s="8"/>
      <c r="AP12" s="456"/>
      <c r="AQ12" s="424"/>
      <c r="AR12" s="538">
        <f>(SUM(H12:AP12))*G12</f>
        <v>0</v>
      </c>
      <c r="AS12" s="440">
        <f>IF('Study Information &amp; rates'!$B$44="Yes",AR12*0.287,0)</f>
        <v>0</v>
      </c>
      <c r="AT12" s="440">
        <f>IF('Study Information &amp; rates'!$B$44="No",0,AR12*0.05)</f>
        <v>0</v>
      </c>
      <c r="AU12" s="440">
        <f>IF('Study Information &amp; rates'!$B$45="No",AR12+AS12+AT12,'Set-up and other costs'!$B$18*(AR12+AS12+AT12))</f>
        <v>0</v>
      </c>
      <c r="BC12" s="449">
        <f>H12*G12</f>
        <v>0</v>
      </c>
      <c r="BD12" s="449">
        <f>IF('Study Information &amp; rates'!$B$44='Study Information &amp; rates'!$V$12,BC12*0.287,0)</f>
        <v>0</v>
      </c>
      <c r="BE12" s="449">
        <f>IF((Reconciliation!$C$15)&gt;5000,BC12*0.05,0)</f>
        <v>0</v>
      </c>
      <c r="BF12" s="449">
        <f>BC12+BD12+BE12</f>
        <v>0</v>
      </c>
      <c r="BG12" s="183" t="b">
        <f>IF($B12='Look Up'!$A$5,$H12)</f>
        <v>0</v>
      </c>
      <c r="BH12" s="183" t="b">
        <f>IF($B12='Look Up'!$A$6,$H12)</f>
        <v>0</v>
      </c>
      <c r="BI12" s="183" t="b">
        <f>IF($B12='Look Up'!$A$7,$H12)</f>
        <v>0</v>
      </c>
      <c r="BJ12" s="183" t="b">
        <f>IF($B12='Look Up'!$A$7,$H12)</f>
        <v>0</v>
      </c>
      <c r="BL12" s="183">
        <f>IF($B12='Look Up'!$A$6,$C12*$H12,0)+IF($B12='Look Up'!$A$7,$C12*$H12,0)</f>
        <v>0</v>
      </c>
      <c r="BM12" s="183">
        <f>IF($B12='Look Up'!$A$6,$D12*$H12,0)+IF($B12='Look Up'!$A$7,$D12*$H12,0)</f>
        <v>0</v>
      </c>
      <c r="BN12" s="183">
        <f>IF($B12='Look Up'!$A$6,$E12*$H12,0)+IF($B12='Look Up'!$A$7,$E12*$H12,0)</f>
        <v>0</v>
      </c>
      <c r="BO12" s="183">
        <f>IF($B12='Look Up'!$A$6,$F12*$H12,0)+IF($B12='Look Up'!$A$7,$F12*$H12,0)</f>
        <v>0</v>
      </c>
      <c r="BQ12" s="470">
        <f>$C12*'Study Information &amp; rates'!$B$101*IF('Study Information &amp; rates'!$B$44='Study Information &amp; rates'!$V$12,(SUM($H12:$AP12)*1.287),(SUM($H12:$AP12)))</f>
        <v>0</v>
      </c>
      <c r="BR12" s="470">
        <f>$D12*'Study Information &amp; rates'!$C$101*IF('Study Information &amp; rates'!$B$44='Study Information &amp; rates'!$V$12,(SUM($H12:$AP12)*1.287),(SUM($H12:$AP12)))</f>
        <v>0</v>
      </c>
      <c r="BS12" s="470">
        <f>$E12*'Study Information &amp; rates'!$D$101*IF('Study Information &amp; rates'!$B$44='Study Information &amp; rates'!$V$12,(SUM($H12:$AP12)*1.287),(SUM($H12:$AP12)))</f>
        <v>0</v>
      </c>
      <c r="BT12" s="470">
        <f>$F12*'Study Information &amp; rates'!$F$101*IF('Study Information &amp; rates'!$B$44='Study Information &amp; rates'!$V$12,(SUM($H12:$AP12)*1.287),(SUM($H12:$AP12)))</f>
        <v>0</v>
      </c>
      <c r="BU12" s="471">
        <f>AR12+AS12</f>
        <v>0</v>
      </c>
      <c r="BW12" s="183">
        <f>SUM(H12:AP12)</f>
        <v>0</v>
      </c>
    </row>
    <row r="13" spans="1:75">
      <c r="A13" s="8"/>
      <c r="B13" s="8"/>
      <c r="C13" s="181"/>
      <c r="D13" s="181"/>
      <c r="E13" s="181"/>
      <c r="F13" s="181"/>
      <c r="G13" s="532">
        <f>IF(ISERROR((C13*'Study Information &amp; rates'!$B$101+D13*'Study Information &amp; rates'!$C$101+E13*'Study Information &amp; rates'!$D$101+F13*'Study Information &amp; rates'!$F$101)),0,(C13*'Study Information &amp; rates'!$B$101+D13*'Study Information &amp; rates'!$C$101+E13*'Study Information &amp; rates'!$D$101+F13*'Study Information &amp; rates'!$F$101))</f>
        <v>0</v>
      </c>
      <c r="H13" s="8"/>
      <c r="I13" s="8"/>
      <c r="J13" s="8"/>
      <c r="K13" s="8"/>
      <c r="L13" s="8"/>
      <c r="M13" s="8"/>
      <c r="N13" s="8"/>
      <c r="O13" s="319"/>
      <c r="P13" s="319"/>
      <c r="Q13" s="319"/>
      <c r="R13" s="319"/>
      <c r="S13" s="319"/>
      <c r="T13" s="319"/>
      <c r="U13" s="319"/>
      <c r="V13" s="319"/>
      <c r="W13" s="319"/>
      <c r="X13" s="316"/>
      <c r="Y13" s="313"/>
      <c r="Z13" s="313"/>
      <c r="AA13" s="313"/>
      <c r="AB13" s="313"/>
      <c r="AC13" s="8"/>
      <c r="AD13" s="8"/>
      <c r="AE13" s="8"/>
      <c r="AF13" s="8"/>
      <c r="AG13" s="8"/>
      <c r="AH13" s="8"/>
      <c r="AI13" s="8"/>
      <c r="AJ13" s="8"/>
      <c r="AK13" s="8"/>
      <c r="AL13" s="8"/>
      <c r="AM13" s="8"/>
      <c r="AN13" s="8"/>
      <c r="AO13" s="8"/>
      <c r="AP13" s="456"/>
      <c r="AQ13" s="424"/>
      <c r="AR13" s="538">
        <f>(SUM(H13:AP13))*G13</f>
        <v>0</v>
      </c>
      <c r="AS13" s="440">
        <f>IF('Study Information &amp; rates'!$B$44="Yes",AR13*0.287,0)</f>
        <v>0</v>
      </c>
      <c r="AT13" s="440">
        <f>IF('Study Information &amp; rates'!$B$44="No",0,AR13*0.05)</f>
        <v>0</v>
      </c>
      <c r="AU13" s="440">
        <f>IF('Study Information &amp; rates'!$B$45="No",AR13+AS13+AT13,'Set-up and other costs'!$B$18*(AR13+AS13+AT13))</f>
        <v>0</v>
      </c>
      <c r="BC13" s="449">
        <f>H13*G13</f>
        <v>0</v>
      </c>
      <c r="BD13" s="449">
        <f>IF('Study Information &amp; rates'!$B$44='Study Information &amp; rates'!$V$12,BC13*0.287,0)</f>
        <v>0</v>
      </c>
      <c r="BE13" s="449">
        <f>IF((Reconciliation!$C$15)&gt;5000,BC13*0.05,0)</f>
        <v>0</v>
      </c>
      <c r="BF13" s="449">
        <f>BC13+BD13+BE13</f>
        <v>0</v>
      </c>
      <c r="BG13" s="183" t="b">
        <f>IF($B13='Look Up'!$A$5,$H13)</f>
        <v>0</v>
      </c>
      <c r="BH13" s="183" t="b">
        <f>IF($B13='Look Up'!$A$6,$H13)</f>
        <v>0</v>
      </c>
      <c r="BI13" s="183" t="b">
        <f>IF($B13='Look Up'!$A$7,$H13)</f>
        <v>0</v>
      </c>
      <c r="BJ13" s="183" t="b">
        <f>IF($B13='Look Up'!$A$7,$H13)</f>
        <v>0</v>
      </c>
      <c r="BL13" s="183">
        <f>IF($B13='Look Up'!$A$6,$E13*$H13,0)+IF($B13='Look Up'!$A$7,$E13*$H13,0)</f>
        <v>0</v>
      </c>
      <c r="BM13" s="183">
        <f>IF($B13='Look Up'!$A$6,$D13*$H13,0)+IF($B13='Look Up'!$A$7,$D13*$H13,0)</f>
        <v>0</v>
      </c>
      <c r="BN13" s="183">
        <f>IF($B13='Look Up'!$A$6,$E13*$H13,0)+IF($B13='Look Up'!$A$7,$E13*$H13,0)</f>
        <v>0</v>
      </c>
      <c r="BO13" s="183">
        <f>IF($B13='Look Up'!$A$6,$F13*$H13,0)+IF($B13='Look Up'!$A$7,$F13*$H13,0)</f>
        <v>0</v>
      </c>
      <c r="BQ13" s="470">
        <f>$C13*'Study Information &amp; rates'!$B$101*IF('Study Information &amp; rates'!$B$44='Study Information &amp; rates'!$V$12,(SUM($H13:$AP13)*1.287),(SUM($H13:$AP13)))</f>
        <v>0</v>
      </c>
      <c r="BR13" s="470">
        <f>$D13*'Study Information &amp; rates'!$C$101*IF('Study Information &amp; rates'!$B$44='Study Information &amp; rates'!$V$12,(SUM($H13:$AP13)*1.287),(SUM($H13:$AP13)))</f>
        <v>0</v>
      </c>
      <c r="BS13" s="470">
        <f>$E13*'Study Information &amp; rates'!$D$101*IF('Study Information &amp; rates'!$B$44='Study Information &amp; rates'!$V$12,(SUM($H13:$AP13)*1.287),(SUM($H13:$AP13)))</f>
        <v>0</v>
      </c>
      <c r="BT13" s="470">
        <f>$F13*'Study Information &amp; rates'!$F$101*IF('Study Information &amp; rates'!$B$44='Study Information &amp; rates'!$V$12,(SUM($H13:$AP13)*1.287),(SUM($H13:$AP13)))</f>
        <v>0</v>
      </c>
      <c r="BU13" s="471">
        <f>AR13+AS13</f>
        <v>0</v>
      </c>
      <c r="BW13" s="183">
        <f>SUM(H13:AP13)</f>
        <v>0</v>
      </c>
    </row>
    <row r="14" spans="1:75" ht="17.25" customHeight="1">
      <c r="A14" s="8"/>
      <c r="B14" s="8"/>
      <c r="C14" s="181"/>
      <c r="D14" s="181"/>
      <c r="E14" s="181"/>
      <c r="F14" s="181"/>
      <c r="G14" s="532">
        <f>IF(ISERROR((C14*'Study Information &amp; rates'!$B$101+D14*'Study Information &amp; rates'!$C$101+E14*'Study Information &amp; rates'!$D$101+F14*'Study Information &amp; rates'!$F$101)),0,(C14*'Study Information &amp; rates'!$B$101+D14*'Study Information &amp; rates'!$C$101+E14*'Study Information &amp; rates'!$D$101+F14*'Study Information &amp; rates'!$F$101))</f>
        <v>0</v>
      </c>
      <c r="H14" s="8"/>
      <c r="I14" s="8"/>
      <c r="J14" s="8"/>
      <c r="K14" s="8"/>
      <c r="L14" s="8"/>
      <c r="M14" s="8"/>
      <c r="N14" s="8"/>
      <c r="O14" s="319"/>
      <c r="P14" s="319"/>
      <c r="Q14" s="319"/>
      <c r="R14" s="319"/>
      <c r="S14" s="319"/>
      <c r="T14" s="319"/>
      <c r="U14" s="319"/>
      <c r="V14" s="319"/>
      <c r="W14" s="319"/>
      <c r="X14" s="316"/>
      <c r="Y14" s="313"/>
      <c r="Z14" s="313"/>
      <c r="AA14" s="313"/>
      <c r="AB14" s="313"/>
      <c r="AC14" s="8"/>
      <c r="AD14" s="8"/>
      <c r="AE14" s="8"/>
      <c r="AF14" s="8"/>
      <c r="AG14" s="8"/>
      <c r="AH14" s="8"/>
      <c r="AI14" s="8"/>
      <c r="AJ14" s="8"/>
      <c r="AK14" s="8"/>
      <c r="AL14" s="8"/>
      <c r="AM14" s="8"/>
      <c r="AN14" s="8"/>
      <c r="AO14" s="8"/>
      <c r="AP14" s="456"/>
      <c r="AQ14" s="424"/>
      <c r="AR14" s="538">
        <f>(SUM(H14:AP14))*G14</f>
        <v>0</v>
      </c>
      <c r="AS14" s="440">
        <f>IF('Study Information &amp; rates'!$B$44="Yes",AR14*0.287,0)</f>
        <v>0</v>
      </c>
      <c r="AT14" s="440">
        <f>IF('Study Information &amp; rates'!$B$44="No",0,AR14*0.05)</f>
        <v>0</v>
      </c>
      <c r="AU14" s="440">
        <f>IF('Study Information &amp; rates'!$B$45="No",AR14+AS14+AT14,'Set-up and other costs'!$B$18*(AR14+AS14+AT14))</f>
        <v>0</v>
      </c>
      <c r="BC14" s="449">
        <f>H14*G14</f>
        <v>0</v>
      </c>
      <c r="BD14" s="449">
        <f>IF('Study Information &amp; rates'!$B$44='Study Information &amp; rates'!$V$12,BC14*0.287,0)</f>
        <v>0</v>
      </c>
      <c r="BE14" s="449">
        <f>IF((Reconciliation!$C$15)&gt;5000,BC14*0.05,0)</f>
        <v>0</v>
      </c>
      <c r="BF14" s="449">
        <f>BC14+BD14+BE14</f>
        <v>0</v>
      </c>
      <c r="BG14" s="183" t="b">
        <f>IF($B14='Look Up'!$A$5,$H14)</f>
        <v>0</v>
      </c>
      <c r="BH14" s="183" t="b">
        <f>IF($B14='Look Up'!$A$6,$H14)</f>
        <v>0</v>
      </c>
      <c r="BI14" s="183" t="b">
        <f>IF($B14='Look Up'!$A$7,$H14)</f>
        <v>0</v>
      </c>
      <c r="BJ14" s="183" t="b">
        <f>IF($B14='Look Up'!$A$7,$H14)</f>
        <v>0</v>
      </c>
      <c r="BL14" s="183">
        <f>IF($B14='Look Up'!$A$6,$E14*$H14,0)+IF($B14='Look Up'!$A$7,$E14*$H14,0)</f>
        <v>0</v>
      </c>
      <c r="BM14" s="183">
        <f>IF($B14='Look Up'!$A$6,$D14*$H14,0)+IF($B14='Look Up'!$A$7,$D14*$H14,0)</f>
        <v>0</v>
      </c>
      <c r="BN14" s="183">
        <f>IF($B14='Look Up'!$A$6,$E14*$H14,0)+IF($B14='Look Up'!$A$7,$E14*$H14,0)</f>
        <v>0</v>
      </c>
      <c r="BO14" s="183">
        <f>IF($B14='Look Up'!$A$6,$F14*$H14,0)+IF($B14='Look Up'!$A$7,$F14*$H14,0)</f>
        <v>0</v>
      </c>
      <c r="BQ14" s="470">
        <f>$C14*'Study Information &amp; rates'!$B$101*IF('Study Information &amp; rates'!$B$44='Study Information &amp; rates'!$V$12,(SUM($H14:$AP14)*1.287),(SUM($H14:$AP14)))</f>
        <v>0</v>
      </c>
      <c r="BR14" s="470">
        <f>$D14*'Study Information &amp; rates'!$C$101*IF('Study Information &amp; rates'!$B$44='Study Information &amp; rates'!$V$12,(SUM($H14:$AP14)*1.287),(SUM($H14:$AP14)))</f>
        <v>0</v>
      </c>
      <c r="BS14" s="470">
        <f>$E14*'Study Information &amp; rates'!$D$101*IF('Study Information &amp; rates'!$B$44='Study Information &amp; rates'!$V$12,(SUM($H14:$AP14)*1.287),(SUM($H14:$AP14)))</f>
        <v>0</v>
      </c>
      <c r="BT14" s="470">
        <f>$F14*'Study Information &amp; rates'!$F$101*IF('Study Information &amp; rates'!$B$44='Study Information &amp; rates'!$V$12,(SUM($H14:$AP14)*1.287),(SUM($H14:$AP14)))</f>
        <v>0</v>
      </c>
      <c r="BU14" s="471">
        <f>AR14+AS14</f>
        <v>0</v>
      </c>
      <c r="BW14" s="183">
        <f>SUM(H14:AP14)</f>
        <v>0</v>
      </c>
    </row>
    <row r="15" spans="1:75">
      <c r="A15" s="8"/>
      <c r="B15" s="8"/>
      <c r="C15" s="181"/>
      <c r="D15" s="181"/>
      <c r="E15" s="181"/>
      <c r="F15" s="181"/>
      <c r="G15" s="532">
        <f>IF(ISERROR((C15*'Study Information &amp; rates'!$B$101+D15*'Study Information &amp; rates'!$C$101+E15*'Study Information &amp; rates'!$D$101+F15*'Study Information &amp; rates'!$F$101)),0,(C15*'Study Information &amp; rates'!$B$101+D15*'Study Information &amp; rates'!$C$101+E15*'Study Information &amp; rates'!$D$101+F15*'Study Information &amp; rates'!$F$101))</f>
        <v>0</v>
      </c>
      <c r="H15" s="8"/>
      <c r="I15" s="8"/>
      <c r="J15" s="8"/>
      <c r="K15" s="8"/>
      <c r="L15" s="8"/>
      <c r="M15" s="8"/>
      <c r="N15" s="8"/>
      <c r="O15" s="319"/>
      <c r="P15" s="319"/>
      <c r="Q15" s="319"/>
      <c r="R15" s="319"/>
      <c r="S15" s="319"/>
      <c r="T15" s="319"/>
      <c r="U15" s="319"/>
      <c r="V15" s="319"/>
      <c r="W15" s="319"/>
      <c r="X15" s="316"/>
      <c r="Y15" s="313"/>
      <c r="Z15" s="313"/>
      <c r="AA15" s="313"/>
      <c r="AB15" s="313"/>
      <c r="AC15" s="8"/>
      <c r="AD15" s="8"/>
      <c r="AE15" s="8"/>
      <c r="AF15" s="8"/>
      <c r="AG15" s="8"/>
      <c r="AH15" s="8"/>
      <c r="AI15" s="8"/>
      <c r="AJ15" s="8"/>
      <c r="AK15" s="8"/>
      <c r="AL15" s="8"/>
      <c r="AM15" s="8"/>
      <c r="AN15" s="8"/>
      <c r="AO15" s="8"/>
      <c r="AP15" s="456"/>
      <c r="AQ15" s="424"/>
      <c r="AR15" s="538">
        <f>(SUM(H15:AP15))*G15</f>
        <v>0</v>
      </c>
      <c r="AS15" s="440">
        <f>IF('Study Information &amp; rates'!$B$44="Yes",AR15*0.287,0)</f>
        <v>0</v>
      </c>
      <c r="AT15" s="440">
        <f>IF('Study Information &amp; rates'!$B$44="No",0,AR15*0.05)</f>
        <v>0</v>
      </c>
      <c r="AU15" s="440">
        <f>IF('Study Information &amp; rates'!$B$45="No",AR15+AS15+AT15,'Set-up and other costs'!$B$18*(AR15+AS15+AT15))</f>
        <v>0</v>
      </c>
      <c r="BC15" s="449">
        <f>H15*G15</f>
        <v>0</v>
      </c>
      <c r="BD15" s="449">
        <f>IF('Study Information &amp; rates'!$B$44='Study Information &amp; rates'!$V$12,BC15*0.287,0)</f>
        <v>0</v>
      </c>
      <c r="BE15" s="449">
        <f>IF((Reconciliation!$C$15)&gt;5000,BC15*0.05,0)</f>
        <v>0</v>
      </c>
      <c r="BF15" s="449">
        <f>BC15+BD15+BE15</f>
        <v>0</v>
      </c>
      <c r="BG15" s="183" t="b">
        <f>IF($B15='Look Up'!$A$5,$H15)</f>
        <v>0</v>
      </c>
      <c r="BH15" s="183" t="b">
        <f>IF($B15='Look Up'!$A$6,$H15)</f>
        <v>0</v>
      </c>
      <c r="BI15" s="183" t="b">
        <f>IF($B15='Look Up'!$A$7,$H15)</f>
        <v>0</v>
      </c>
      <c r="BJ15" s="183" t="b">
        <f>IF($B15='Look Up'!$A$7,$H15)</f>
        <v>0</v>
      </c>
      <c r="BL15" s="183">
        <f>IF($B15='Look Up'!$A$6,$E15*$H15,0)+IF($B15='Look Up'!$A$7,$E15*$H15,0)</f>
        <v>0</v>
      </c>
      <c r="BM15" s="183">
        <f>IF($B15='Look Up'!$A$6,$D15*$H15,0)+IF($B15='Look Up'!$A$7,$D15*$H15,0)</f>
        <v>0</v>
      </c>
      <c r="BN15" s="183">
        <f>IF($B15='Look Up'!$A$6,$E15*$H15,0)+IF($B15='Look Up'!$A$7,$E15*$H15,0)</f>
        <v>0</v>
      </c>
      <c r="BO15" s="183">
        <f>IF($B15='Look Up'!$A$6,$F15*$H15,0)+IF($B15='Look Up'!$A$7,$F15*$H15,0)</f>
        <v>0</v>
      </c>
      <c r="BQ15" s="470">
        <f>$C15*'Study Information &amp; rates'!$B$101*IF('Study Information &amp; rates'!$B$44='Study Information &amp; rates'!$V$12,(SUM($H15:$AP15)*1.287),(SUM($H15:$AP15)))</f>
        <v>0</v>
      </c>
      <c r="BR15" s="470">
        <f>$D15*'Study Information &amp; rates'!$C$101*IF('Study Information &amp; rates'!$B$44='Study Information &amp; rates'!$V$12,(SUM($H15:$AP15)*1.287),(SUM($H15:$AP15)))</f>
        <v>0</v>
      </c>
      <c r="BS15" s="470">
        <f>$E15*'Study Information &amp; rates'!$D$101*IF('Study Information &amp; rates'!$B$44='Study Information &amp; rates'!$V$12,(SUM($H15:$AP15)*1.287),(SUM($H15:$AP15)))</f>
        <v>0</v>
      </c>
      <c r="BT15" s="470">
        <f>$F15*'Study Information &amp; rates'!$F$101*IF('Study Information &amp; rates'!$B$44='Study Information &amp; rates'!$V$12,(SUM($H15:$AP15)*1.287),(SUM($H15:$AP15)))</f>
        <v>0</v>
      </c>
      <c r="BU15" s="471">
        <f>AR15+AS15</f>
        <v>0</v>
      </c>
      <c r="BW15" s="183">
        <f>SUM(H15:AP15)</f>
        <v>0</v>
      </c>
    </row>
    <row r="16" spans="1:75">
      <c r="A16" s="8"/>
      <c r="B16" s="8"/>
      <c r="C16" s="181"/>
      <c r="D16" s="181"/>
      <c r="E16" s="181"/>
      <c r="F16" s="181"/>
      <c r="G16" s="532">
        <f>IF(ISERROR((C16*'Study Information &amp; rates'!$B$101+D16*'Study Information &amp; rates'!$C$101+E16*'Study Information &amp; rates'!$D$101+F16*'Study Information &amp; rates'!$F$101)),0,(C16*'Study Information &amp; rates'!$B$101+D16*'Study Information &amp; rates'!$C$101+E16*'Study Information &amp; rates'!$D$101+F16*'Study Information &amp; rates'!$F$101))</f>
        <v>0</v>
      </c>
      <c r="H16" s="8"/>
      <c r="I16" s="8"/>
      <c r="J16" s="8"/>
      <c r="K16" s="8"/>
      <c r="L16" s="8"/>
      <c r="M16" s="8"/>
      <c r="N16" s="8"/>
      <c r="O16" s="319"/>
      <c r="P16" s="319"/>
      <c r="Q16" s="319"/>
      <c r="R16" s="319"/>
      <c r="S16" s="319"/>
      <c r="T16" s="319"/>
      <c r="U16" s="319"/>
      <c r="V16" s="319"/>
      <c r="W16" s="319"/>
      <c r="X16" s="316"/>
      <c r="Y16" s="313"/>
      <c r="Z16" s="313"/>
      <c r="AA16" s="313"/>
      <c r="AB16" s="313"/>
      <c r="AC16" s="8"/>
      <c r="AD16" s="8"/>
      <c r="AE16" s="8"/>
      <c r="AF16" s="8"/>
      <c r="AG16" s="8"/>
      <c r="AH16" s="8"/>
      <c r="AI16" s="8"/>
      <c r="AJ16" s="8"/>
      <c r="AK16" s="8"/>
      <c r="AL16" s="8"/>
      <c r="AM16" s="8"/>
      <c r="AN16" s="8"/>
      <c r="AO16" s="8"/>
      <c r="AP16" s="456"/>
      <c r="AQ16" s="424"/>
      <c r="AR16" s="538">
        <f>(SUM(H16:AP16))*G16</f>
        <v>0</v>
      </c>
      <c r="AS16" s="440">
        <f>IF('Study Information &amp; rates'!$B$44="Yes",AR16*0.287,0)</f>
        <v>0</v>
      </c>
      <c r="AT16" s="440">
        <f>IF('Study Information &amp; rates'!$B$44="No",0,AR16*0.05)</f>
        <v>0</v>
      </c>
      <c r="AU16" s="440">
        <f>IF('Study Information &amp; rates'!$B$45="No",AR16+AS16+AT16,'Set-up and other costs'!$B$18*(AR16+AS16+AT16))</f>
        <v>0</v>
      </c>
      <c r="BC16" s="449">
        <f>H16*G16</f>
        <v>0</v>
      </c>
      <c r="BD16" s="449">
        <f>IF('Study Information &amp; rates'!$B$44='Study Information &amp; rates'!$V$12,BC16*0.287,0)</f>
        <v>0</v>
      </c>
      <c r="BE16" s="449">
        <f>IF((Reconciliation!$C$15)&gt;5000,BC16*0.05,0)</f>
        <v>0</v>
      </c>
      <c r="BF16" s="449">
        <f>BC16+BD16+BE16</f>
        <v>0</v>
      </c>
      <c r="BG16" s="183" t="b">
        <f>IF($B16='Look Up'!$A$5,$H16)</f>
        <v>0</v>
      </c>
      <c r="BH16" s="183" t="b">
        <f>IF($B16='Look Up'!$A$6,$H16)</f>
        <v>0</v>
      </c>
      <c r="BI16" s="183" t="b">
        <f>IF($B16='Look Up'!$A$7,$H16)</f>
        <v>0</v>
      </c>
      <c r="BJ16" s="183" t="b">
        <f>IF($B16='Look Up'!$A$7,$H16)</f>
        <v>0</v>
      </c>
      <c r="BL16" s="183">
        <f>IF($B16='Look Up'!$A$6,$E16*$H16,0)+IF($B16='Look Up'!$A$7,$E16*$H16,0)</f>
        <v>0</v>
      </c>
      <c r="BM16" s="183">
        <f>IF($B16='Look Up'!$A$6,$D16*$H16,0)+IF($B16='Look Up'!$A$7,$D16*$H16,0)</f>
        <v>0</v>
      </c>
      <c r="BN16" s="183">
        <f>IF($B16='Look Up'!$A$6,$E16*$H16,0)+IF($B16='Look Up'!$A$7,$E16*$H16,0)</f>
        <v>0</v>
      </c>
      <c r="BO16" s="183">
        <f>IF($B16='Look Up'!$A$6,$F16*$H16,0)+IF($B16='Look Up'!$A$7,$F16*$H16,0)</f>
        <v>0</v>
      </c>
      <c r="BQ16" s="470">
        <f>$C16*'Study Information &amp; rates'!$B$101*IF('Study Information &amp; rates'!$B$44='Study Information &amp; rates'!$V$12,(SUM($H16:$AP16)*1.287),(SUM($H16:$AP16)))</f>
        <v>0</v>
      </c>
      <c r="BR16" s="470">
        <f>$D16*'Study Information &amp; rates'!$C$101*IF('Study Information &amp; rates'!$B$44='Study Information &amp; rates'!$V$12,(SUM($H16:$AP16)*1.287),(SUM($H16:$AP16)))</f>
        <v>0</v>
      </c>
      <c r="BS16" s="470">
        <f>$E16*'Study Information &amp; rates'!$D$101*IF('Study Information &amp; rates'!$B$44='Study Information &amp; rates'!$V$12,(SUM($H16:$AP16)*1.287),(SUM($H16:$AP16)))</f>
        <v>0</v>
      </c>
      <c r="BT16" s="470">
        <f>$F16*'Study Information &amp; rates'!$F$101*IF('Study Information &amp; rates'!$B$44='Study Information &amp; rates'!$V$12,(SUM($H16:$AP16)*1.287),(SUM($H16:$AP16)))</f>
        <v>0</v>
      </c>
      <c r="BU16" s="471">
        <f>AR16+AS16</f>
        <v>0</v>
      </c>
      <c r="BW16" s="183">
        <f>SUM(H16:AP16)</f>
        <v>0</v>
      </c>
    </row>
    <row r="17" spans="1:75">
      <c r="A17" s="8"/>
      <c r="B17" s="8"/>
      <c r="C17" s="181"/>
      <c r="D17" s="181"/>
      <c r="E17" s="181"/>
      <c r="F17" s="181"/>
      <c r="G17" s="532">
        <f>IF(ISERROR((C17*'Study Information &amp; rates'!$B$101+D17*'Study Information &amp; rates'!$C$101+E17*'Study Information &amp; rates'!$D$101+F17*'Study Information &amp; rates'!$F$101)),0,(C17*'Study Information &amp; rates'!$B$101+D17*'Study Information &amp; rates'!$C$101+E17*'Study Information &amp; rates'!$D$101+F17*'Study Information &amp; rates'!$F$101))</f>
        <v>0</v>
      </c>
      <c r="H17" s="8"/>
      <c r="I17" s="8"/>
      <c r="J17" s="8"/>
      <c r="K17" s="8"/>
      <c r="L17" s="8"/>
      <c r="M17" s="8"/>
      <c r="N17" s="8"/>
      <c r="O17" s="319"/>
      <c r="P17" s="319"/>
      <c r="Q17" s="319"/>
      <c r="R17" s="319"/>
      <c r="S17" s="319"/>
      <c r="T17" s="319"/>
      <c r="U17" s="319"/>
      <c r="V17" s="319"/>
      <c r="W17" s="319"/>
      <c r="X17" s="316"/>
      <c r="Y17" s="313"/>
      <c r="Z17" s="313"/>
      <c r="AA17" s="313"/>
      <c r="AB17" s="313"/>
      <c r="AC17" s="8"/>
      <c r="AD17" s="8"/>
      <c r="AE17" s="8"/>
      <c r="AF17" s="8"/>
      <c r="AG17" s="8"/>
      <c r="AH17" s="8"/>
      <c r="AI17" s="8"/>
      <c r="AJ17" s="8"/>
      <c r="AK17" s="8"/>
      <c r="AL17" s="8"/>
      <c r="AM17" s="8"/>
      <c r="AN17" s="8"/>
      <c r="AO17" s="8"/>
      <c r="AP17" s="456"/>
      <c r="AQ17" s="424"/>
      <c r="AR17" s="538">
        <f>(SUM(H17:AP17))*G17</f>
        <v>0</v>
      </c>
      <c r="AS17" s="440">
        <f>IF('Study Information &amp; rates'!$B$44="Yes",AR17*0.287,0)</f>
        <v>0</v>
      </c>
      <c r="AT17" s="440">
        <f>IF('Study Information &amp; rates'!$B$44="No",0,AR17*0.05)</f>
        <v>0</v>
      </c>
      <c r="AU17" s="440">
        <f>IF('Study Information &amp; rates'!$B$45="No",AR17+AS17+AT17,'Set-up and other costs'!$B$18*(AR17+AS17+AT17))</f>
        <v>0</v>
      </c>
      <c r="BC17" s="449">
        <f>H17*G17</f>
        <v>0</v>
      </c>
      <c r="BD17" s="449">
        <f>IF('Study Information &amp; rates'!$B$44='Study Information &amp; rates'!$V$12,BC17*0.287,0)</f>
        <v>0</v>
      </c>
      <c r="BE17" s="449">
        <f>IF((Reconciliation!$C$15)&gt;5000,BC17*0.05,0)</f>
        <v>0</v>
      </c>
      <c r="BF17" s="449">
        <f>BC17+BD17+BE17</f>
        <v>0</v>
      </c>
      <c r="BG17" s="183" t="b">
        <f>IF($B17='Look Up'!$A$5,$H17)</f>
        <v>0</v>
      </c>
      <c r="BH17" s="183" t="b">
        <f>IF($B17='Look Up'!$A$6,$H17)</f>
        <v>0</v>
      </c>
      <c r="BI17" s="183" t="b">
        <f>IF($B17='Look Up'!$A$7,$H17)</f>
        <v>0</v>
      </c>
      <c r="BJ17" s="183" t="b">
        <f>IF($B17='Look Up'!$A$7,$H17)</f>
        <v>0</v>
      </c>
      <c r="BL17" s="183">
        <f>IF($B17='Look Up'!$A$6,$E17*$H17,0)+IF($B17='Look Up'!$A$7,$E17*$H17,0)</f>
        <v>0</v>
      </c>
      <c r="BM17" s="183">
        <f>IF($B17='Look Up'!$A$6,$D17*$H17,0)+IF($B17='Look Up'!$A$7,$D17*$H17,0)</f>
        <v>0</v>
      </c>
      <c r="BN17" s="183">
        <f>IF($B17='Look Up'!$A$6,$E17*$H17,0)+IF($B17='Look Up'!$A$7,$E17*$H17,0)</f>
        <v>0</v>
      </c>
      <c r="BO17" s="183">
        <f>IF($B17='Look Up'!$A$6,$F17*$H17,0)+IF($B17='Look Up'!$A$7,$F17*$H17,0)</f>
        <v>0</v>
      </c>
      <c r="BQ17" s="470">
        <f>$C17*'Study Information &amp; rates'!$B$101*IF('Study Information &amp; rates'!$B$44='Study Information &amp; rates'!$V$12,(SUM($H17:$AP17)*1.287),(SUM($H17:$AP17)))</f>
        <v>0</v>
      </c>
      <c r="BR17" s="470">
        <f>$D17*'Study Information &amp; rates'!$C$101*IF('Study Information &amp; rates'!$B$44='Study Information &amp; rates'!$V$12,(SUM($H17:$AP17)*1.287),(SUM($H17:$AP17)))</f>
        <v>0</v>
      </c>
      <c r="BS17" s="470">
        <f>$E17*'Study Information &amp; rates'!$D$101*IF('Study Information &amp; rates'!$B$44='Study Information &amp; rates'!$V$12,(SUM($H17:$AP17)*1.287),(SUM($H17:$AP17)))</f>
        <v>0</v>
      </c>
      <c r="BT17" s="470">
        <f>$F17*'Study Information &amp; rates'!$F$101*IF('Study Information &amp; rates'!$B$44='Study Information &amp; rates'!$V$12,(SUM($H17:$AP17)*1.287),(SUM($H17:$AP17)))</f>
        <v>0</v>
      </c>
      <c r="BU17" s="471">
        <f>AR17+AS17</f>
        <v>0</v>
      </c>
      <c r="BW17" s="183">
        <f>SUM(H17:AP17)</f>
        <v>0</v>
      </c>
    </row>
    <row r="18" spans="1:75">
      <c r="A18" s="8"/>
      <c r="B18" s="8"/>
      <c r="C18" s="181"/>
      <c r="D18" s="181"/>
      <c r="E18" s="181"/>
      <c r="F18" s="181"/>
      <c r="G18" s="532">
        <f>IF(ISERROR((C18*'Study Information &amp; rates'!$B$101+D18*'Study Information &amp; rates'!$C$101+E18*'Study Information &amp; rates'!$D$101+F18*'Study Information &amp; rates'!$F$101)),0,(C18*'Study Information &amp; rates'!$B$101+D18*'Study Information &amp; rates'!$C$101+E18*'Study Information &amp; rates'!$D$101+F18*'Study Information &amp; rates'!$F$101))</f>
        <v>0</v>
      </c>
      <c r="H18" s="8"/>
      <c r="I18" s="8"/>
      <c r="J18" s="8"/>
      <c r="K18" s="8"/>
      <c r="L18" s="8"/>
      <c r="M18" s="8"/>
      <c r="N18" s="8"/>
      <c r="O18" s="319"/>
      <c r="P18" s="319"/>
      <c r="Q18" s="319"/>
      <c r="R18" s="319"/>
      <c r="S18" s="319"/>
      <c r="T18" s="319"/>
      <c r="U18" s="319"/>
      <c r="V18" s="319"/>
      <c r="W18" s="319"/>
      <c r="X18" s="316"/>
      <c r="Y18" s="313"/>
      <c r="Z18" s="313"/>
      <c r="AA18" s="313"/>
      <c r="AB18" s="313"/>
      <c r="AC18" s="8"/>
      <c r="AD18" s="8"/>
      <c r="AE18" s="8"/>
      <c r="AF18" s="8"/>
      <c r="AG18" s="8"/>
      <c r="AH18" s="8"/>
      <c r="AI18" s="8"/>
      <c r="AJ18" s="8"/>
      <c r="AK18" s="8"/>
      <c r="AL18" s="8"/>
      <c r="AM18" s="8"/>
      <c r="AN18" s="8"/>
      <c r="AO18" s="8"/>
      <c r="AP18" s="456"/>
      <c r="AQ18" s="424"/>
      <c r="AR18" s="538">
        <f>(SUM(H18:AP18))*G18</f>
        <v>0</v>
      </c>
      <c r="AS18" s="440">
        <f>IF('Study Information &amp; rates'!$B$44="Yes",AR18*0.287,0)</f>
        <v>0</v>
      </c>
      <c r="AT18" s="440">
        <f>IF('Study Information &amp; rates'!$B$44="No",0,AR18*0.05)</f>
        <v>0</v>
      </c>
      <c r="AU18" s="440">
        <f>IF('Study Information &amp; rates'!$B$45="No",AR18+AS18+AT18,'Set-up and other costs'!$B$18*(AR18+AS18+AT18))</f>
        <v>0</v>
      </c>
      <c r="BC18" s="449">
        <f>H18*G18</f>
        <v>0</v>
      </c>
      <c r="BD18" s="449">
        <f>IF('Study Information &amp; rates'!$B$44='Study Information &amp; rates'!$V$12,BC18*0.287,0)</f>
        <v>0</v>
      </c>
      <c r="BE18" s="449">
        <f>IF((Reconciliation!$C$15)&gt;5000,BC18*0.05,0)</f>
        <v>0</v>
      </c>
      <c r="BF18" s="449">
        <f>BC18+BD18+BE18</f>
        <v>0</v>
      </c>
      <c r="BG18" s="183" t="b">
        <f>IF($B18='Look Up'!$A$5,$H18)</f>
        <v>0</v>
      </c>
      <c r="BH18" s="183" t="b">
        <f>IF($B18='Look Up'!$A$6,$H18)</f>
        <v>0</v>
      </c>
      <c r="BI18" s="183" t="b">
        <f>IF($B18='Look Up'!$A$7,$H18)</f>
        <v>0</v>
      </c>
      <c r="BJ18" s="183" t="b">
        <f>IF($B18='Look Up'!$A$7,$H18)</f>
        <v>0</v>
      </c>
      <c r="BL18" s="183">
        <f>IF($B18='Look Up'!$A$6,$E18*$H18,0)+IF($B18='Look Up'!$A$7,$E18*$H18,0)</f>
        <v>0</v>
      </c>
      <c r="BM18" s="183">
        <f>IF($B18='Look Up'!$A$6,$D18*$H18,0)+IF($B18='Look Up'!$A$7,$D18*$H18,0)</f>
        <v>0</v>
      </c>
      <c r="BN18" s="183">
        <f>IF($B18='Look Up'!$A$6,$E18*$H18,0)+IF($B18='Look Up'!$A$7,$E18*$H18,0)</f>
        <v>0</v>
      </c>
      <c r="BO18" s="183">
        <f>IF($B18='Look Up'!$A$6,$F18*$H18,0)+IF($B18='Look Up'!$A$7,$F18*$H18,0)</f>
        <v>0</v>
      </c>
      <c r="BQ18" s="470">
        <f>$C18*'Study Information &amp; rates'!$B$101*IF('Study Information &amp; rates'!$B$44='Study Information &amp; rates'!$V$12,(SUM($H18:$AP18)*1.287),(SUM($H18:$AP18)))</f>
        <v>0</v>
      </c>
      <c r="BR18" s="470">
        <f>$D18*'Study Information &amp; rates'!$C$101*IF('Study Information &amp; rates'!$B$44='Study Information &amp; rates'!$V$12,(SUM($H18:$AP18)*1.287),(SUM($H18:$AP18)))</f>
        <v>0</v>
      </c>
      <c r="BS18" s="470">
        <f>$E18*'Study Information &amp; rates'!$D$101*IF('Study Information &amp; rates'!$B$44='Study Information &amp; rates'!$V$12,(SUM($H18:$AP18)*1.287),(SUM($H18:$AP18)))</f>
        <v>0</v>
      </c>
      <c r="BT18" s="470">
        <f>$F18*'Study Information &amp; rates'!$F$101*IF('Study Information &amp; rates'!$B$44='Study Information &amp; rates'!$V$12,(SUM($H18:$AP18)*1.287),(SUM($H18:$AP18)))</f>
        <v>0</v>
      </c>
      <c r="BU18" s="471">
        <f>AR18+AS18</f>
        <v>0</v>
      </c>
      <c r="BW18" s="183">
        <f>SUM(H18:AP18)</f>
        <v>0</v>
      </c>
    </row>
    <row r="19" spans="1:75">
      <c r="A19" s="8"/>
      <c r="B19" s="8"/>
      <c r="C19" s="181"/>
      <c r="D19" s="181"/>
      <c r="E19" s="181"/>
      <c r="F19" s="181"/>
      <c r="G19" s="532">
        <f>IF(ISERROR((C19*'Study Information &amp; rates'!$B$101+D19*'Study Information &amp; rates'!$C$101+E19*'Study Information &amp; rates'!$D$101+F19*'Study Information &amp; rates'!$F$101)),0,(C19*'Study Information &amp; rates'!$B$101+D19*'Study Information &amp; rates'!$C$101+E19*'Study Information &amp; rates'!$D$101+F19*'Study Information &amp; rates'!$F$101))</f>
        <v>0</v>
      </c>
      <c r="H19" s="8"/>
      <c r="I19" s="8"/>
      <c r="J19" s="8"/>
      <c r="K19" s="8"/>
      <c r="L19" s="8"/>
      <c r="M19" s="8"/>
      <c r="N19" s="8"/>
      <c r="O19" s="319"/>
      <c r="P19" s="319"/>
      <c r="Q19" s="319"/>
      <c r="R19" s="319"/>
      <c r="S19" s="319"/>
      <c r="T19" s="319"/>
      <c r="U19" s="319"/>
      <c r="V19" s="319"/>
      <c r="W19" s="319"/>
      <c r="X19" s="316"/>
      <c r="Y19" s="313"/>
      <c r="Z19" s="313"/>
      <c r="AA19" s="313"/>
      <c r="AB19" s="313"/>
      <c r="AC19" s="8"/>
      <c r="AD19" s="8"/>
      <c r="AE19" s="8"/>
      <c r="AF19" s="8"/>
      <c r="AG19" s="8"/>
      <c r="AH19" s="8"/>
      <c r="AI19" s="8"/>
      <c r="AJ19" s="8"/>
      <c r="AK19" s="8"/>
      <c r="AL19" s="8"/>
      <c r="AM19" s="8"/>
      <c r="AN19" s="8"/>
      <c r="AO19" s="8"/>
      <c r="AP19" s="456"/>
      <c r="AQ19" s="424"/>
      <c r="AR19" s="538">
        <f>(SUM(H19:AP19))*G19</f>
        <v>0</v>
      </c>
      <c r="AS19" s="440">
        <f>IF('Study Information &amp; rates'!$B$44="Yes",AR19*0.287,0)</f>
        <v>0</v>
      </c>
      <c r="AT19" s="440">
        <f>IF('Study Information &amp; rates'!$B$44="No",0,AR19*0.05)</f>
        <v>0</v>
      </c>
      <c r="AU19" s="440">
        <f>IF('Study Information &amp; rates'!$B$45="No",AR19+AS19+AT19,'Set-up and other costs'!$B$18*(AR19+AS19+AT19))</f>
        <v>0</v>
      </c>
      <c r="BC19" s="449">
        <f>H19*G19</f>
        <v>0</v>
      </c>
      <c r="BD19" s="449">
        <f>IF('Study Information &amp; rates'!$B$44='Study Information &amp; rates'!$V$12,BC19*0.287,0)</f>
        <v>0</v>
      </c>
      <c r="BE19" s="449">
        <f>IF((Reconciliation!$C$15)&gt;5000,BC19*0.05,0)</f>
        <v>0</v>
      </c>
      <c r="BF19" s="449">
        <f>BC19+BD19+BE19</f>
        <v>0</v>
      </c>
      <c r="BG19" s="183" t="b">
        <f>IF($B19='Look Up'!$A$5,$H19)</f>
        <v>0</v>
      </c>
      <c r="BH19" s="183" t="b">
        <f>IF($B19='Look Up'!$A$6,$H19)</f>
        <v>0</v>
      </c>
      <c r="BI19" s="183" t="b">
        <f>IF($B19='Look Up'!$A$7,$H19)</f>
        <v>0</v>
      </c>
      <c r="BJ19" s="183" t="b">
        <f>IF($B19='Look Up'!$A$7,$H19)</f>
        <v>0</v>
      </c>
      <c r="BL19" s="183">
        <f>IF($B19='Look Up'!$A$6,$E19*$H19,0)+IF($B19='Look Up'!$A$7,$E19*$H19,0)</f>
        <v>0</v>
      </c>
      <c r="BM19" s="183">
        <f>IF($B19='Look Up'!$A$6,$D19*$H19,0)+IF($B19='Look Up'!$A$7,$D19*$H19,0)</f>
        <v>0</v>
      </c>
      <c r="BN19" s="183">
        <f>IF($B19='Look Up'!$A$6,$E19*$H19,0)+IF($B19='Look Up'!$A$7,$E19*$H19,0)</f>
        <v>0</v>
      </c>
      <c r="BO19" s="183">
        <f>IF($B19='Look Up'!$A$6,$F19*$H19,0)+IF($B19='Look Up'!$A$7,$F19*$H19,0)</f>
        <v>0</v>
      </c>
      <c r="BQ19" s="470">
        <f>$C19*'Study Information &amp; rates'!$B$101*IF('Study Information &amp; rates'!$B$44='Study Information &amp; rates'!$V$12,(SUM($H19:$AP19)*1.287),(SUM($H19:$AP19)))</f>
        <v>0</v>
      </c>
      <c r="BR19" s="470">
        <f>$D19*'Study Information &amp; rates'!$C$101*IF('Study Information &amp; rates'!$B$44='Study Information &amp; rates'!$V$12,(SUM($H19:$AP19)*1.287),(SUM($H19:$AP19)))</f>
        <v>0</v>
      </c>
      <c r="BS19" s="470">
        <f>$E19*'Study Information &amp; rates'!$D$101*IF('Study Information &amp; rates'!$B$44='Study Information &amp; rates'!$V$12,(SUM($H19:$AP19)*1.287),(SUM($H19:$AP19)))</f>
        <v>0</v>
      </c>
      <c r="BT19" s="470">
        <f>$F19*'Study Information &amp; rates'!$F$101*IF('Study Information &amp; rates'!$B$44='Study Information &amp; rates'!$V$12,(SUM($H19:$AP19)*1.287),(SUM($H19:$AP19)))</f>
        <v>0</v>
      </c>
      <c r="BU19" s="471">
        <f>AR19+AS19</f>
        <v>0</v>
      </c>
      <c r="BW19" s="183">
        <f>SUM(H19:AP19)</f>
        <v>0</v>
      </c>
    </row>
    <row r="20" spans="1:75">
      <c r="A20" s="8"/>
      <c r="B20" s="8"/>
      <c r="C20" s="181"/>
      <c r="D20" s="181"/>
      <c r="E20" s="181"/>
      <c r="F20" s="181"/>
      <c r="G20" s="532">
        <f>IF(ISERROR((C20*'Study Information &amp; rates'!$B$101+D20*'Study Information &amp; rates'!$C$101+E20*'Study Information &amp; rates'!$D$101+F20*'Study Information &amp; rates'!$F$101)),0,(C20*'Study Information &amp; rates'!$B$101+D20*'Study Information &amp; rates'!$C$101+E20*'Study Information &amp; rates'!$D$101+F20*'Study Information &amp; rates'!$F$101))</f>
        <v>0</v>
      </c>
      <c r="H20" s="8"/>
      <c r="I20" s="8"/>
      <c r="J20" s="8"/>
      <c r="K20" s="8"/>
      <c r="L20" s="8"/>
      <c r="M20" s="8"/>
      <c r="N20" s="8"/>
      <c r="O20" s="319"/>
      <c r="P20" s="319"/>
      <c r="Q20" s="319"/>
      <c r="R20" s="319"/>
      <c r="S20" s="319"/>
      <c r="T20" s="319"/>
      <c r="U20" s="319"/>
      <c r="V20" s="319"/>
      <c r="W20" s="319"/>
      <c r="X20" s="317"/>
      <c r="Y20" s="312"/>
      <c r="Z20" s="312"/>
      <c r="AA20" s="312"/>
      <c r="AB20" s="312"/>
      <c r="AC20" s="8"/>
      <c r="AD20" s="8"/>
      <c r="AE20" s="8"/>
      <c r="AF20" s="8"/>
      <c r="AG20" s="8"/>
      <c r="AH20" s="8"/>
      <c r="AI20" s="8"/>
      <c r="AJ20" s="8"/>
      <c r="AK20" s="8"/>
      <c r="AL20" s="8"/>
      <c r="AM20" s="8"/>
      <c r="AN20" s="8"/>
      <c r="AO20" s="8"/>
      <c r="AP20" s="456"/>
      <c r="AQ20" s="424"/>
      <c r="AR20" s="538">
        <f>(SUM(H20:AP20))*G20</f>
        <v>0</v>
      </c>
      <c r="AS20" s="440">
        <f>IF('Study Information &amp; rates'!$B$44="Yes",AR20*0.287,0)</f>
        <v>0</v>
      </c>
      <c r="AT20" s="440">
        <f>IF('Study Information &amp; rates'!$B$44="No",0,AR20*0.05)</f>
        <v>0</v>
      </c>
      <c r="AU20" s="440">
        <f>IF('Study Information &amp; rates'!$B$45="No",AR20+AS20+AT20,'Set-up and other costs'!$B$18*(AR20+AS20+AT20))</f>
        <v>0</v>
      </c>
      <c r="BC20" s="449">
        <f>H20*G20</f>
        <v>0</v>
      </c>
      <c r="BD20" s="449">
        <f>IF('Study Information &amp; rates'!$B$44='Study Information &amp; rates'!$V$12,BC20*0.287,0)</f>
        <v>0</v>
      </c>
      <c r="BE20" s="449">
        <f>IF((Reconciliation!$C$15)&gt;5000,BC20*0.05,0)</f>
        <v>0</v>
      </c>
      <c r="BF20" s="449">
        <f>BC20+BD20+BE20</f>
        <v>0</v>
      </c>
      <c r="BG20" s="183" t="b">
        <f>IF($B20='Look Up'!$A$5,$H20)</f>
        <v>0</v>
      </c>
      <c r="BH20" s="183" t="b">
        <f>IF($B20='Look Up'!$A$6,$H20)</f>
        <v>0</v>
      </c>
      <c r="BI20" s="183" t="b">
        <f>IF($B20='Look Up'!$A$7,$H20)</f>
        <v>0</v>
      </c>
      <c r="BJ20" s="183" t="b">
        <f>IF($B20='Look Up'!$A$7,$H20)</f>
        <v>0</v>
      </c>
      <c r="BL20" s="183">
        <f>IF($B20='Look Up'!$A$6,$C20*$H20,0)+IF($B20='Look Up'!$A$7,$C20*$H20,0)</f>
        <v>0</v>
      </c>
      <c r="BM20" s="183">
        <f>IF($B20='Look Up'!$A$6,$D20*$H20,0)+IF($B20='Look Up'!$A$7,$D20*$H20,0)</f>
        <v>0</v>
      </c>
      <c r="BN20" s="183">
        <f>IF($B20='Look Up'!$A$6,$E20*$H20,0)+IF($B20='Look Up'!$A$7,$E20*$H20,0)</f>
        <v>0</v>
      </c>
      <c r="BO20" s="183">
        <f>IF($B20='Look Up'!$A$6,$F20*$H20,0)+IF($B20='Look Up'!$A$7,$F20*$H20,0)</f>
        <v>0</v>
      </c>
      <c r="BQ20" s="470">
        <f>$C20*'Study Information &amp; rates'!$B$101*IF('Study Information &amp; rates'!$B$44='Study Information &amp; rates'!$V$12,(SUM($H20:$AP20)*1.287),(SUM($H20:$AP20)))</f>
        <v>0</v>
      </c>
      <c r="BR20" s="470">
        <f>$D20*'Study Information &amp; rates'!$C$101*IF('Study Information &amp; rates'!$B$44='Study Information &amp; rates'!$V$12,(SUM($H20:$AP20)*1.287),(SUM($H20:$AP20)))</f>
        <v>0</v>
      </c>
      <c r="BS20" s="470">
        <f>$E20*'Study Information &amp; rates'!$D$101*IF('Study Information &amp; rates'!$B$44='Study Information &amp; rates'!$V$12,(SUM($H20:$AP20)*1.287),(SUM($H20:$AP20)))</f>
        <v>0</v>
      </c>
      <c r="BT20" s="470">
        <f>$F20*'Study Information &amp; rates'!$F$101*IF('Study Information &amp; rates'!$B$44='Study Information &amp; rates'!$V$12,(SUM($H20:$AP20)*1.287),(SUM($H20:$AP20)))</f>
        <v>0</v>
      </c>
      <c r="BU20" s="471">
        <f>AR20+AS20</f>
        <v>0</v>
      </c>
      <c r="BW20" s="183">
        <f>SUM(H20:AP20)</f>
        <v>0</v>
      </c>
    </row>
    <row r="21" spans="1:75">
      <c r="A21" s="8"/>
      <c r="B21" s="8"/>
      <c r="C21" s="181"/>
      <c r="D21" s="181"/>
      <c r="E21" s="181"/>
      <c r="F21" s="181"/>
      <c r="G21" s="532">
        <f>IF(ISERROR((C21*'Study Information &amp; rates'!$B$101+D21*'Study Information &amp; rates'!$C$101+E21*'Study Information &amp; rates'!$D$101+F21*'Study Information &amp; rates'!$F$101)),0,(C21*'Study Information &amp; rates'!$B$101+D21*'Study Information &amp; rates'!$C$101+E21*'Study Information &amp; rates'!$D$101+F21*'Study Information &amp; rates'!$F$101))</f>
        <v>0</v>
      </c>
      <c r="H21" s="8"/>
      <c r="I21" s="8"/>
      <c r="J21" s="8"/>
      <c r="K21" s="8"/>
      <c r="L21" s="8"/>
      <c r="M21" s="8"/>
      <c r="N21" s="8"/>
      <c r="O21" s="319"/>
      <c r="P21" s="319"/>
      <c r="Q21" s="319"/>
      <c r="R21" s="319"/>
      <c r="S21" s="319"/>
      <c r="T21" s="319"/>
      <c r="U21" s="319"/>
      <c r="V21" s="319"/>
      <c r="W21" s="319"/>
      <c r="X21" s="317"/>
      <c r="Y21" s="312"/>
      <c r="Z21" s="312"/>
      <c r="AA21" s="312"/>
      <c r="AB21" s="312"/>
      <c r="AC21" s="8"/>
      <c r="AD21" s="8"/>
      <c r="AE21" s="8"/>
      <c r="AF21" s="8"/>
      <c r="AG21" s="8"/>
      <c r="AH21" s="8"/>
      <c r="AI21" s="8"/>
      <c r="AJ21" s="8"/>
      <c r="AK21" s="8"/>
      <c r="AL21" s="8"/>
      <c r="AM21" s="8"/>
      <c r="AN21" s="8"/>
      <c r="AO21" s="8"/>
      <c r="AP21" s="456"/>
      <c r="AQ21" s="424"/>
      <c r="AR21" s="538">
        <f>(SUM(H21:AP21))*G21</f>
        <v>0</v>
      </c>
      <c r="AS21" s="440">
        <f>IF('Study Information &amp; rates'!$B$44="Yes",AR21*0.287,0)</f>
        <v>0</v>
      </c>
      <c r="AT21" s="440">
        <f>IF('Study Information &amp; rates'!$B$44="No",0,AR21*0.05)</f>
        <v>0</v>
      </c>
      <c r="AU21" s="440">
        <f>IF('Study Information &amp; rates'!$B$45="No",AR21+AS21+AT21,'Set-up and other costs'!$B$18*(AR21+AS21+AT21))</f>
        <v>0</v>
      </c>
      <c r="BC21" s="449">
        <f>H21*G21</f>
        <v>0</v>
      </c>
      <c r="BD21" s="449">
        <f>IF('Study Information &amp; rates'!$B$44='Study Information &amp; rates'!$V$12,BC21*0.287,0)</f>
        <v>0</v>
      </c>
      <c r="BE21" s="449">
        <f>IF((Reconciliation!$C$15)&gt;5000,BC21*0.05,0)</f>
        <v>0</v>
      </c>
      <c r="BF21" s="449">
        <f>BC21+BD21+BE21</f>
        <v>0</v>
      </c>
      <c r="BG21" s="183" t="b">
        <f>IF($B21='Look Up'!$A$5,$H21)</f>
        <v>0</v>
      </c>
      <c r="BH21" s="183" t="b">
        <f>IF($B21='Look Up'!$A$6,$H21)</f>
        <v>0</v>
      </c>
      <c r="BI21" s="183" t="b">
        <f>IF($B21='Look Up'!$A$7,$H21)</f>
        <v>0</v>
      </c>
      <c r="BJ21" s="183" t="b">
        <f>IF($B21='Look Up'!$A$7,$H21)</f>
        <v>0</v>
      </c>
      <c r="BL21" s="183">
        <f>IF($B21='Look Up'!$A$6,$C21*$H21,0)+IF($B21='Look Up'!$A$7,$C21*$H21,0)</f>
        <v>0</v>
      </c>
      <c r="BM21" s="183">
        <f>IF($B21='Look Up'!$A$6,$D21*$H21,0)+IF($B21='Look Up'!$A$7,$D21*$H21,0)</f>
        <v>0</v>
      </c>
      <c r="BN21" s="183">
        <f>IF($B21='Look Up'!$A$6,$E21*$H21,0)+IF($B21='Look Up'!$A$7,$E21*$H21,0)</f>
        <v>0</v>
      </c>
      <c r="BO21" s="183">
        <f>IF($B21='Look Up'!$A$6,$F21*$H21,0)+IF($B21='Look Up'!$A$7,$F21*$H21,0)</f>
        <v>0</v>
      </c>
      <c r="BQ21" s="470">
        <f>$C21*'Study Information &amp; rates'!$B$101*IF('Study Information &amp; rates'!$B$44='Study Information &amp; rates'!$V$12,(SUM($H21:$AP21)*1.287),(SUM($H21:$AP21)))</f>
        <v>0</v>
      </c>
      <c r="BR21" s="470">
        <f>$D21*'Study Information &amp; rates'!$C$101*IF('Study Information &amp; rates'!$B$44='Study Information &amp; rates'!$V$12,(SUM($H21:$AP21)*1.287),(SUM($H21:$AP21)))</f>
        <v>0</v>
      </c>
      <c r="BS21" s="470">
        <f>$E21*'Study Information &amp; rates'!$D$101*IF('Study Information &amp; rates'!$B$44='Study Information &amp; rates'!$V$12,(SUM($H21:$AP21)*1.287),(SUM($H21:$AP21)))</f>
        <v>0</v>
      </c>
      <c r="BT21" s="470">
        <f>$F21*'Study Information &amp; rates'!$F$101*IF('Study Information &amp; rates'!$B$44='Study Information &amp; rates'!$V$12,(SUM($H21:$AP21)*1.287),(SUM($H21:$AP21)))</f>
        <v>0</v>
      </c>
      <c r="BU21" s="471">
        <f>AR21+AS21</f>
        <v>0</v>
      </c>
      <c r="BW21" s="183">
        <f>SUM(H21:AP21)</f>
        <v>0</v>
      </c>
    </row>
    <row r="22" spans="1:75">
      <c r="A22" s="8"/>
      <c r="B22" s="8"/>
      <c r="C22" s="181"/>
      <c r="D22" s="181"/>
      <c r="E22" s="181"/>
      <c r="F22" s="181"/>
      <c r="G22" s="532">
        <f>IF(ISERROR((C22*'Study Information &amp; rates'!$B$101+D22*'Study Information &amp; rates'!$C$101+E22*'Study Information &amp; rates'!$D$101+F22*'Study Information &amp; rates'!$F$101)),0,(C22*'Study Information &amp; rates'!$B$101+D22*'Study Information &amp; rates'!$C$101+E22*'Study Information &amp; rates'!$D$101+F22*'Study Information &amp; rates'!$F$101))</f>
        <v>0</v>
      </c>
      <c r="H22" s="8"/>
      <c r="I22" s="8"/>
      <c r="J22" s="8"/>
      <c r="K22" s="8"/>
      <c r="L22" s="8"/>
      <c r="M22" s="8"/>
      <c r="N22" s="8"/>
      <c r="O22" s="319"/>
      <c r="P22" s="319"/>
      <c r="Q22" s="319"/>
      <c r="R22" s="319"/>
      <c r="S22" s="319"/>
      <c r="T22" s="319"/>
      <c r="U22" s="319"/>
      <c r="V22" s="319"/>
      <c r="W22" s="319"/>
      <c r="X22" s="317"/>
      <c r="Y22" s="312"/>
      <c r="Z22" s="312"/>
      <c r="AA22" s="312"/>
      <c r="AB22" s="312"/>
      <c r="AC22" s="8"/>
      <c r="AD22" s="8"/>
      <c r="AE22" s="8"/>
      <c r="AF22" s="8"/>
      <c r="AG22" s="8"/>
      <c r="AH22" s="8"/>
      <c r="AI22" s="8"/>
      <c r="AJ22" s="8"/>
      <c r="AK22" s="8"/>
      <c r="AL22" s="8"/>
      <c r="AM22" s="8"/>
      <c r="AN22" s="8"/>
      <c r="AO22" s="8"/>
      <c r="AP22" s="8"/>
      <c r="AQ22" s="452"/>
      <c r="AR22" s="440">
        <f>(SUM(H22:AP22))*G22</f>
        <v>0</v>
      </c>
      <c r="AS22" s="440">
        <f>IF('Study Information &amp; rates'!$B$44="Yes",AR22*0.287,0)</f>
        <v>0</v>
      </c>
      <c r="AT22" s="440">
        <f>IF('Study Information &amp; rates'!$B$44="No",0,AR22*0.05)</f>
        <v>0</v>
      </c>
      <c r="AU22" s="440">
        <f>IF('Study Information &amp; rates'!$B$45="No",AR22+AS22+AT22,'Set-up and other costs'!$B$18*(AR22+AS22+AT22))</f>
        <v>0</v>
      </c>
      <c r="BC22" s="449">
        <f>H22*G22</f>
        <v>0</v>
      </c>
      <c r="BD22" s="449">
        <f>IF('Study Information &amp; rates'!$B$44='Study Information &amp; rates'!$V$12,BC22*0.287,0)</f>
        <v>0</v>
      </c>
      <c r="BE22" s="449">
        <f>IF((Reconciliation!$C$15)&gt;5000,BC22*0.05,0)</f>
        <v>0</v>
      </c>
      <c r="BF22" s="449">
        <f>BC22+BD22+BE22</f>
        <v>0</v>
      </c>
      <c r="BG22" s="183" t="b">
        <f>IF($B22='Look Up'!$A$5,$H22)</f>
        <v>0</v>
      </c>
      <c r="BH22" s="183" t="b">
        <f>IF($B22='Look Up'!$A$6,$H22)</f>
        <v>0</v>
      </c>
      <c r="BI22" s="183" t="b">
        <f>IF($B22='Look Up'!$A$7,$H22)</f>
        <v>0</v>
      </c>
      <c r="BJ22" s="183" t="b">
        <f>IF($B22='Look Up'!$A$7,$H22)</f>
        <v>0</v>
      </c>
      <c r="BL22" s="183">
        <f>IF($B22='Look Up'!$A$6,$C22*$H22,0)+IF($B22='Look Up'!$A$7,$C22*$H22,0)</f>
        <v>0</v>
      </c>
      <c r="BM22" s="183">
        <f>IF($B22='Look Up'!$A$6,$D22*$H22,0)+IF($B22='Look Up'!$A$7,$D22*$H22,0)</f>
        <v>0</v>
      </c>
      <c r="BN22" s="183">
        <f>IF($B22='Look Up'!$A$6,$E22*$H22,0)+IF($B22='Look Up'!$A$7,$E22*$H22,0)</f>
        <v>0</v>
      </c>
      <c r="BO22" s="183">
        <f>IF($B22='Look Up'!$A$6,$F22*$H22,0)+IF($B22='Look Up'!$A$7,$F22*$H22,0)</f>
        <v>0</v>
      </c>
      <c r="BQ22" s="470">
        <f>$C22*'Study Information &amp; rates'!$B$101*IF('Study Information &amp; rates'!$B$44='Study Information &amp; rates'!$V$12,(SUM($H22:$AP22)*1.287),(SUM($H22:$AP22)))</f>
        <v>0</v>
      </c>
      <c r="BR22" s="470">
        <f>$D22*'Study Information &amp; rates'!$C$101*IF('Study Information &amp; rates'!$B$44='Study Information &amp; rates'!$V$12,(SUM($H22:$AP22)*1.287),(SUM($H22:$AP22)))</f>
        <v>0</v>
      </c>
      <c r="BS22" s="470">
        <f>$E22*'Study Information &amp; rates'!$D$101*IF('Study Information &amp; rates'!$B$44='Study Information &amp; rates'!$V$12,(SUM($H22:$AP22)*1.287),(SUM($H22:$AP22)))</f>
        <v>0</v>
      </c>
      <c r="BT22" s="470">
        <f>$F22*'Study Information &amp; rates'!$F$101*IF('Study Information &amp; rates'!$B$44='Study Information &amp; rates'!$V$12,(SUM($H22:$AP22)*1.287),(SUM($H22:$AP22)))</f>
        <v>0</v>
      </c>
      <c r="BU22" s="471">
        <f>AR22+AS22</f>
        <v>0</v>
      </c>
      <c r="BW22" s="183">
        <f>SUM(H22:AP22)</f>
        <v>0</v>
      </c>
    </row>
    <row r="23" spans="1:75">
      <c r="A23" s="8"/>
      <c r="B23" s="8"/>
      <c r="C23" s="181"/>
      <c r="D23" s="181"/>
      <c r="E23" s="181"/>
      <c r="F23" s="181"/>
      <c r="G23" s="532">
        <f>IF(ISERROR((C23*'Study Information &amp; rates'!$B$101+D23*'Study Information &amp; rates'!$C$101+E23*'Study Information &amp; rates'!$D$101+F23*'Study Information &amp; rates'!$F$101)),0,(C23*'Study Information &amp; rates'!$B$101+D23*'Study Information &amp; rates'!$C$101+E23*'Study Information &amp; rates'!$D$101+F23*'Study Information &amp; rates'!$F$101))</f>
        <v>0</v>
      </c>
      <c r="H23" s="8"/>
      <c r="I23" s="8"/>
      <c r="J23" s="8"/>
      <c r="K23" s="8"/>
      <c r="L23" s="8"/>
      <c r="M23" s="8"/>
      <c r="N23" s="8"/>
      <c r="O23" s="319"/>
      <c r="P23" s="319"/>
      <c r="Q23" s="319"/>
      <c r="R23" s="319"/>
      <c r="S23" s="319"/>
      <c r="T23" s="319"/>
      <c r="U23" s="319"/>
      <c r="V23" s="319"/>
      <c r="W23" s="319"/>
      <c r="X23" s="317"/>
      <c r="Y23" s="312"/>
      <c r="Z23" s="312"/>
      <c r="AA23" s="312"/>
      <c r="AB23" s="312"/>
      <c r="AC23" s="8"/>
      <c r="AD23" s="8"/>
      <c r="AE23" s="8"/>
      <c r="AF23" s="8"/>
      <c r="AG23" s="8"/>
      <c r="AH23" s="8"/>
      <c r="AI23" s="8"/>
      <c r="AJ23" s="8"/>
      <c r="AK23" s="8"/>
      <c r="AL23" s="8"/>
      <c r="AM23" s="8"/>
      <c r="AN23" s="8"/>
      <c r="AO23" s="8"/>
      <c r="AP23" s="8"/>
      <c r="AQ23" s="437"/>
      <c r="AR23" s="440">
        <f>(SUM(H23:AP23))*G23</f>
        <v>0</v>
      </c>
      <c r="AS23" s="440">
        <f>IF('Study Information &amp; rates'!$B$44="Yes",AR23*0.287,0)</f>
        <v>0</v>
      </c>
      <c r="AT23" s="440">
        <f>IF('Study Information &amp; rates'!$B$44="No",0,AR23*0.05)</f>
        <v>0</v>
      </c>
      <c r="AU23" s="440">
        <f>IF('Study Information &amp; rates'!$B$45="No",AR23+AS23+AT23,'Set-up and other costs'!$B$18*(AR23+AS23+AT23))</f>
        <v>0</v>
      </c>
      <c r="BC23" s="449">
        <f>H23*G23</f>
        <v>0</v>
      </c>
      <c r="BD23" s="449">
        <f>IF('Study Information &amp; rates'!$B$44='Study Information &amp; rates'!$V$12,BC23*0.287,0)</f>
        <v>0</v>
      </c>
      <c r="BE23" s="449">
        <f>IF((Reconciliation!$C$15)&gt;5000,BC23*0.05,0)</f>
        <v>0</v>
      </c>
      <c r="BF23" s="449">
        <f>BC23+BD23+BE23</f>
        <v>0</v>
      </c>
      <c r="BG23" s="183" t="b">
        <f>IF($B23='Look Up'!$A$5,$H23)</f>
        <v>0</v>
      </c>
      <c r="BH23" s="183" t="b">
        <f>IF($B23='Look Up'!$A$6,$H23)</f>
        <v>0</v>
      </c>
      <c r="BI23" s="183" t="b">
        <f>IF($B23='Look Up'!$A$7,$H23)</f>
        <v>0</v>
      </c>
      <c r="BJ23" s="183" t="b">
        <f>IF($B23='Look Up'!$A$7,$H23)</f>
        <v>0</v>
      </c>
      <c r="BL23" s="183">
        <f>IF($B23='Look Up'!$A$6,$C23*$H23,0)+IF($B23='Look Up'!$A$7,$C23*$H23,0)</f>
        <v>0</v>
      </c>
      <c r="BM23" s="183">
        <f>IF($B23='Look Up'!$A$6,$D23*$H23,0)+IF($B23='Look Up'!$A$7,$D23*$H23,0)</f>
        <v>0</v>
      </c>
      <c r="BN23" s="183">
        <f>IF($B23='Look Up'!$A$6,$E23*$H23,0)+IF($B23='Look Up'!$A$7,$E23*$H23,0)</f>
        <v>0</v>
      </c>
      <c r="BO23" s="183">
        <f>IF($B23='Look Up'!$A$6,$F23*$H23,0)+IF($B23='Look Up'!$A$7,$F23*$H23,0)</f>
        <v>0</v>
      </c>
      <c r="BQ23" s="470">
        <f>$C23*'Study Information &amp; rates'!$B$101*IF('Study Information &amp; rates'!$B$44='Study Information &amp; rates'!$V$12,(SUM($H23:$AP23)*1.287),(SUM($H23:$AP23)))</f>
        <v>0</v>
      </c>
      <c r="BR23" s="470">
        <f>$D23*'Study Information &amp; rates'!$C$101*IF('Study Information &amp; rates'!$B$44='Study Information &amp; rates'!$V$12,(SUM($H23:$AP23)*1.287),(SUM($H23:$AP23)))</f>
        <v>0</v>
      </c>
      <c r="BS23" s="470">
        <f>$E23*'Study Information &amp; rates'!$D$101*IF('Study Information &amp; rates'!$B$44='Study Information &amp; rates'!$V$12,(SUM($H23:$AP23)*1.287),(SUM($H23:$AP23)))</f>
        <v>0</v>
      </c>
      <c r="BT23" s="470">
        <f>$F23*'Study Information &amp; rates'!$F$101*IF('Study Information &amp; rates'!$B$44='Study Information &amp; rates'!$V$12,(SUM($H23:$AP23)*1.287),(SUM($H23:$AP23)))</f>
        <v>0</v>
      </c>
      <c r="BU23" s="471">
        <f>AR23+AS23</f>
        <v>0</v>
      </c>
      <c r="BW23" s="183">
        <f>SUM(H23:AP23)</f>
        <v>0</v>
      </c>
    </row>
    <row r="24" spans="1:75">
      <c r="A24" s="8"/>
      <c r="B24" s="8"/>
      <c r="C24" s="181"/>
      <c r="D24" s="181"/>
      <c r="E24" s="181"/>
      <c r="F24" s="181"/>
      <c r="G24" s="532">
        <f>IF(ISERROR((C24*'Study Information &amp; rates'!$B$101+D24*'Study Information &amp; rates'!$C$101+E24*'Study Information &amp; rates'!$D$101+F24*'Study Information &amp; rates'!$F$101)),0,(C24*'Study Information &amp; rates'!$B$101+D24*'Study Information &amp; rates'!$C$101+E24*'Study Information &amp; rates'!$D$101+F24*'Study Information &amp; rates'!$F$101))</f>
        <v>0</v>
      </c>
      <c r="H24" s="8"/>
      <c r="I24" s="8"/>
      <c r="J24" s="8"/>
      <c r="K24" s="8"/>
      <c r="L24" s="8"/>
      <c r="M24" s="8"/>
      <c r="N24" s="8"/>
      <c r="O24" s="319"/>
      <c r="P24" s="319"/>
      <c r="Q24" s="319"/>
      <c r="R24" s="319"/>
      <c r="S24" s="319"/>
      <c r="T24" s="319"/>
      <c r="U24" s="319"/>
      <c r="V24" s="319"/>
      <c r="W24" s="319"/>
      <c r="X24" s="317"/>
      <c r="Y24" s="312"/>
      <c r="Z24" s="312"/>
      <c r="AA24" s="312"/>
      <c r="AB24" s="312"/>
      <c r="AC24" s="8"/>
      <c r="AD24" s="8"/>
      <c r="AE24" s="8"/>
      <c r="AF24" s="8"/>
      <c r="AG24" s="8"/>
      <c r="AH24" s="8"/>
      <c r="AI24" s="8"/>
      <c r="AJ24" s="8"/>
      <c r="AK24" s="8"/>
      <c r="AL24" s="8"/>
      <c r="AM24" s="8"/>
      <c r="AN24" s="8"/>
      <c r="AO24" s="8"/>
      <c r="AP24" s="8"/>
      <c r="AQ24" s="437"/>
      <c r="AR24" s="440">
        <f>(SUM(H24:AP24))*G24</f>
        <v>0</v>
      </c>
      <c r="AS24" s="440">
        <f>IF('Study Information &amp; rates'!$B$44="Yes",AR24*0.287,0)</f>
        <v>0</v>
      </c>
      <c r="AT24" s="440">
        <f>IF('Study Information &amp; rates'!$B$44="No",0,AR24*0.05)</f>
        <v>0</v>
      </c>
      <c r="AU24" s="440">
        <f>IF('Study Information &amp; rates'!$B$45="No",AR24+AS24+AT24,'Set-up and other costs'!$B$18*(AR24+AS24+AT24))</f>
        <v>0</v>
      </c>
      <c r="BC24" s="449">
        <f>H24*G24</f>
        <v>0</v>
      </c>
      <c r="BD24" s="449">
        <f>IF('Study Information &amp; rates'!$B$44='Study Information &amp; rates'!$V$12,BC24*0.287,0)</f>
        <v>0</v>
      </c>
      <c r="BE24" s="449">
        <f>IF((Reconciliation!$C$15)&gt;5000,BC24*0.05,0)</f>
        <v>0</v>
      </c>
      <c r="BF24" s="449">
        <f>BC24+BD24+BE24</f>
        <v>0</v>
      </c>
      <c r="BG24" s="183" t="b">
        <f>IF($B24='Look Up'!$A$5,$H24)</f>
        <v>0</v>
      </c>
      <c r="BH24" s="183" t="b">
        <f>IF($B24='Look Up'!$A$6,$H24)</f>
        <v>0</v>
      </c>
      <c r="BI24" s="183" t="b">
        <f>IF($B24='Look Up'!$A$7,$H24)</f>
        <v>0</v>
      </c>
      <c r="BJ24" s="183" t="b">
        <f>IF($B24='Look Up'!$A$7,$H24)</f>
        <v>0</v>
      </c>
      <c r="BL24" s="183">
        <f>IF($B24='Look Up'!$A$6,$C24*$H24,0)+IF($B24='Look Up'!$A$7,$C24*$H24,0)</f>
        <v>0</v>
      </c>
      <c r="BM24" s="183">
        <f>IF($B24='Look Up'!$A$6,$D24*$H24,0)+IF($B24='Look Up'!$A$7,$D24*$H24,0)</f>
        <v>0</v>
      </c>
      <c r="BN24" s="183">
        <f>IF($B24='Look Up'!$A$6,$E24*$H24,0)+IF($B24='Look Up'!$A$7,$E24*$H24,0)</f>
        <v>0</v>
      </c>
      <c r="BO24" s="183">
        <f>IF($B24='Look Up'!$A$6,$F24*$H24,0)+IF($B24='Look Up'!$A$7,$F24*$H24,0)</f>
        <v>0</v>
      </c>
      <c r="BQ24" s="470">
        <f>$C24*'Study Information &amp; rates'!$B$101*IF('Study Information &amp; rates'!$B$44='Study Information &amp; rates'!$V$12,(SUM($H24:$AP24)*1.287),(SUM($H24:$AP24)))</f>
        <v>0</v>
      </c>
      <c r="BR24" s="470">
        <f>$D24*'Study Information &amp; rates'!$C$101*IF('Study Information &amp; rates'!$B$44='Study Information &amp; rates'!$V$12,(SUM($H24:$AP24)*1.287),(SUM($H24:$AP24)))</f>
        <v>0</v>
      </c>
      <c r="BS24" s="470">
        <f>$E24*'Study Information &amp; rates'!$D$101*IF('Study Information &amp; rates'!$B$44='Study Information &amp; rates'!$V$12,(SUM($H24:$AP24)*1.287),(SUM($H24:$AP24)))</f>
        <v>0</v>
      </c>
      <c r="BT24" s="470">
        <f>$F24*'Study Information &amp; rates'!$F$101*IF('Study Information &amp; rates'!$B$44='Study Information &amp; rates'!$V$12,(SUM($H24:$AP24)*1.287),(SUM($H24:$AP24)))</f>
        <v>0</v>
      </c>
      <c r="BU24" s="471">
        <f>AR24+AS24</f>
        <v>0</v>
      </c>
      <c r="BW24" s="183">
        <f>SUM(H24:AP24)</f>
        <v>0</v>
      </c>
    </row>
    <row r="25" spans="1:75">
      <c r="A25" s="8"/>
      <c r="B25" s="8"/>
      <c r="C25" s="181"/>
      <c r="D25" s="181"/>
      <c r="E25" s="181"/>
      <c r="F25" s="181"/>
      <c r="G25" s="532">
        <f>IF(ISERROR((C25*'Study Information &amp; rates'!$B$101+D25*'Study Information &amp; rates'!$C$101+E25*'Study Information &amp; rates'!$D$101+F25*'Study Information &amp; rates'!$F$101)),0,(C25*'Study Information &amp; rates'!$B$101+D25*'Study Information &amp; rates'!$C$101+E25*'Study Information &amp; rates'!$D$101+F25*'Study Information &amp; rates'!$F$101))</f>
        <v>0</v>
      </c>
      <c r="H25" s="8"/>
      <c r="I25" s="8"/>
      <c r="J25" s="8"/>
      <c r="K25" s="8"/>
      <c r="L25" s="8"/>
      <c r="M25" s="8"/>
      <c r="N25" s="8"/>
      <c r="O25" s="319"/>
      <c r="P25" s="319"/>
      <c r="Q25" s="319"/>
      <c r="R25" s="319"/>
      <c r="S25" s="319"/>
      <c r="T25" s="319"/>
      <c r="U25" s="319"/>
      <c r="V25" s="319"/>
      <c r="W25" s="319"/>
      <c r="X25" s="317"/>
      <c r="Y25" s="312"/>
      <c r="Z25" s="312"/>
      <c r="AA25" s="312"/>
      <c r="AB25" s="312"/>
      <c r="AC25" s="8"/>
      <c r="AD25" s="8"/>
      <c r="AE25" s="8"/>
      <c r="AF25" s="8"/>
      <c r="AG25" s="8"/>
      <c r="AH25" s="8"/>
      <c r="AI25" s="8"/>
      <c r="AJ25" s="8"/>
      <c r="AK25" s="8"/>
      <c r="AL25" s="8"/>
      <c r="AM25" s="8"/>
      <c r="AN25" s="8"/>
      <c r="AO25" s="8"/>
      <c r="AP25" s="8"/>
      <c r="AQ25" s="437"/>
      <c r="AR25" s="440">
        <f>(SUM(H25:AP25))*G25</f>
        <v>0</v>
      </c>
      <c r="AS25" s="440">
        <f>IF('Study Information &amp; rates'!$B$44="Yes",AR25*0.287,0)</f>
        <v>0</v>
      </c>
      <c r="AT25" s="440">
        <f>IF('Study Information &amp; rates'!$B$44="No",0,AR25*0.05)</f>
        <v>0</v>
      </c>
      <c r="AU25" s="440">
        <f>IF('Study Information &amp; rates'!$B$45="No",AR25+AS25+AT25,'Set-up and other costs'!$B$18*(AR25+AS25+AT25))</f>
        <v>0</v>
      </c>
      <c r="BC25" s="449">
        <f>H25*G25</f>
        <v>0</v>
      </c>
      <c r="BD25" s="449">
        <f>IF('Study Information &amp; rates'!$B$44='Study Information &amp; rates'!$V$12,BC25*0.287,0)</f>
        <v>0</v>
      </c>
      <c r="BE25" s="449">
        <f>IF((Reconciliation!$C$15)&gt;5000,BC25*0.05,0)</f>
        <v>0</v>
      </c>
      <c r="BF25" s="449">
        <f>BC25+BD25+BE25</f>
        <v>0</v>
      </c>
      <c r="BG25" s="183" t="b">
        <f>IF($B25='Look Up'!$A$5,$H25)</f>
        <v>0</v>
      </c>
      <c r="BH25" s="183" t="b">
        <f>IF($B25='Look Up'!$A$6,$H25)</f>
        <v>0</v>
      </c>
      <c r="BI25" s="183" t="b">
        <f>IF($B25='Look Up'!$A$7,$H25)</f>
        <v>0</v>
      </c>
      <c r="BJ25" s="183" t="b">
        <f>IF($B25='Look Up'!$A$7,$H25)</f>
        <v>0</v>
      </c>
      <c r="BL25" s="183">
        <f>IF($B25='Look Up'!$A$6,$C25*$H25,0)+IF($B25='Look Up'!$A$7,$C25*$H25,0)</f>
        <v>0</v>
      </c>
      <c r="BM25" s="183">
        <f>IF($B25='Look Up'!$A$6,$D25*$H25,0)+IF($B25='Look Up'!$A$7,$D25*$H25,0)</f>
        <v>0</v>
      </c>
      <c r="BN25" s="183">
        <f>IF($B25='Look Up'!$A$6,$E25*$H25,0)+IF($B25='Look Up'!$A$7,$E25*$H25,0)</f>
        <v>0</v>
      </c>
      <c r="BO25" s="183">
        <f>IF($B25='Look Up'!$A$6,$F25*$H25,0)+IF($B25='Look Up'!$A$7,$F25*$H25,0)</f>
        <v>0</v>
      </c>
      <c r="BQ25" s="470">
        <f>$C25*'Study Information &amp; rates'!$B$101*IF('Study Information &amp; rates'!$B$44='Study Information &amp; rates'!$V$12,(SUM($H25:$AP25)*1.287),(SUM($H25:$AP25)))</f>
        <v>0</v>
      </c>
      <c r="BR25" s="470">
        <f>$D25*'Study Information &amp; rates'!$C$101*IF('Study Information &amp; rates'!$B$44='Study Information &amp; rates'!$V$12,(SUM($H25:$AP25)*1.287),(SUM($H25:$AP25)))</f>
        <v>0</v>
      </c>
      <c r="BS25" s="470">
        <f>$E25*'Study Information &amp; rates'!$D$101*IF('Study Information &amp; rates'!$B$44='Study Information &amp; rates'!$V$12,(SUM($H25:$AP25)*1.287),(SUM($H25:$AP25)))</f>
        <v>0</v>
      </c>
      <c r="BT25" s="470">
        <f>$F25*'Study Information &amp; rates'!$F$101*IF('Study Information &amp; rates'!$B$44='Study Information &amp; rates'!$V$12,(SUM($H25:$AP25)*1.287),(SUM($H25:$AP25)))</f>
        <v>0</v>
      </c>
      <c r="BU25" s="471">
        <f>AR25+AS25</f>
        <v>0</v>
      </c>
      <c r="BW25" s="183">
        <f>SUM(H25:AP25)</f>
        <v>0</v>
      </c>
    </row>
    <row r="26" spans="1:75">
      <c r="A26" s="8"/>
      <c r="B26" s="8"/>
      <c r="C26" s="181"/>
      <c r="D26" s="181"/>
      <c r="E26" s="181"/>
      <c r="F26" s="181"/>
      <c r="G26" s="532">
        <f>IF(ISERROR((C26*'Study Information &amp; rates'!$B$101+D26*'Study Information &amp; rates'!$C$101+E26*'Study Information &amp; rates'!$D$101+F26*'Study Information &amp; rates'!$F$101)),0,(C26*'Study Information &amp; rates'!$B$101+D26*'Study Information &amp; rates'!$C$101+E26*'Study Information &amp; rates'!$D$101+F26*'Study Information &amp; rates'!$F$101))</f>
        <v>0</v>
      </c>
      <c r="H26" s="8"/>
      <c r="I26" s="8"/>
      <c r="J26" s="8"/>
      <c r="K26" s="8"/>
      <c r="L26" s="8"/>
      <c r="M26" s="8"/>
      <c r="N26" s="8"/>
      <c r="O26" s="319"/>
      <c r="P26" s="319"/>
      <c r="Q26" s="319"/>
      <c r="R26" s="319"/>
      <c r="S26" s="319"/>
      <c r="T26" s="319"/>
      <c r="U26" s="319"/>
      <c r="V26" s="319"/>
      <c r="W26" s="319"/>
      <c r="X26" s="317"/>
      <c r="Y26" s="312"/>
      <c r="Z26" s="312"/>
      <c r="AA26" s="312"/>
      <c r="AB26" s="312"/>
      <c r="AC26" s="8"/>
      <c r="AD26" s="8"/>
      <c r="AE26" s="8"/>
      <c r="AF26" s="8"/>
      <c r="AG26" s="8"/>
      <c r="AH26" s="8"/>
      <c r="AI26" s="8"/>
      <c r="AJ26" s="8"/>
      <c r="AK26" s="8"/>
      <c r="AL26" s="8"/>
      <c r="AM26" s="8"/>
      <c r="AN26" s="8"/>
      <c r="AO26" s="8"/>
      <c r="AP26" s="8"/>
      <c r="AQ26" s="437"/>
      <c r="AR26" s="440">
        <f>(SUM(H26:AP26))*G26</f>
        <v>0</v>
      </c>
      <c r="AS26" s="440">
        <f>IF('Study Information &amp; rates'!$B$44="Yes",AR26*0.287,0)</f>
        <v>0</v>
      </c>
      <c r="AT26" s="440">
        <f>IF('Study Information &amp; rates'!$B$44="No",0,AR26*0.05)</f>
        <v>0</v>
      </c>
      <c r="AU26" s="440">
        <f>IF('Study Information &amp; rates'!$B$45="No",AR26+AS26+AT26,'Set-up and other costs'!$B$18*(AR26+AS26+AT26))</f>
        <v>0</v>
      </c>
      <c r="BC26" s="449">
        <f>H26*G26</f>
        <v>0</v>
      </c>
      <c r="BD26" s="449">
        <f>IF('Study Information &amp; rates'!$B$44='Study Information &amp; rates'!$V$12,BC26*0.287,0)</f>
        <v>0</v>
      </c>
      <c r="BE26" s="449">
        <f>IF((Reconciliation!$C$15)&gt;5000,BC26*0.05,0)</f>
        <v>0</v>
      </c>
      <c r="BF26" s="449">
        <f>BC26+BD26+BE26</f>
        <v>0</v>
      </c>
      <c r="BG26" s="183" t="b">
        <f>IF($B26='Look Up'!$A$5,$H26)</f>
        <v>0</v>
      </c>
      <c r="BH26" s="183" t="b">
        <f>IF($B26='Look Up'!$A$6,$H26)</f>
        <v>0</v>
      </c>
      <c r="BI26" s="183" t="b">
        <f>IF($B26='Look Up'!$A$7,$H26)</f>
        <v>0</v>
      </c>
      <c r="BJ26" s="183" t="b">
        <f>IF($B26='Look Up'!$A$7,$H26)</f>
        <v>0</v>
      </c>
      <c r="BL26" s="183">
        <f>IF($B26='Look Up'!$A$6,$C26*$H26,0)+IF($B26='Look Up'!$A$7,$C26*$H26,0)</f>
        <v>0</v>
      </c>
      <c r="BM26" s="183">
        <f>IF($B26='Look Up'!$A$6,$D26*$H26,0)+IF($B26='Look Up'!$A$7,$D26*$H26,0)</f>
        <v>0</v>
      </c>
      <c r="BN26" s="183">
        <f>IF($B26='Look Up'!$A$6,$E26*$H26,0)+IF($B26='Look Up'!$A$7,$E26*$H26,0)</f>
        <v>0</v>
      </c>
      <c r="BO26" s="183">
        <f>IF($B26='Look Up'!$A$6,$F26*$H26,0)+IF($B26='Look Up'!$A$7,$F26*$H26,0)</f>
        <v>0</v>
      </c>
      <c r="BQ26" s="470">
        <f>$C26*'Study Information &amp; rates'!$B$101*IF('Study Information &amp; rates'!$B$44='Study Information &amp; rates'!$V$12,(SUM($H26:$AP26)*1.287),(SUM($H26:$AP26)))</f>
        <v>0</v>
      </c>
      <c r="BR26" s="470">
        <f>$D26*'Study Information &amp; rates'!$C$101*IF('Study Information &amp; rates'!$B$44='Study Information &amp; rates'!$V$12,(SUM($H26:$AP26)*1.287),(SUM($H26:$AP26)))</f>
        <v>0</v>
      </c>
      <c r="BS26" s="470">
        <f>$E26*'Study Information &amp; rates'!$D$101*IF('Study Information &amp; rates'!$B$44='Study Information &amp; rates'!$V$12,(SUM($H26:$AP26)*1.287),(SUM($H26:$AP26)))</f>
        <v>0</v>
      </c>
      <c r="BT26" s="470">
        <f>$F26*'Study Information &amp; rates'!$F$101*IF('Study Information &amp; rates'!$B$44='Study Information &amp; rates'!$V$12,(SUM($H26:$AP26)*1.287),(SUM($H26:$AP26)))</f>
        <v>0</v>
      </c>
      <c r="BU26" s="471">
        <f>AR26+AS26</f>
        <v>0</v>
      </c>
      <c r="BW26" s="183">
        <f>SUM(H26:AP26)</f>
        <v>0</v>
      </c>
    </row>
    <row r="27" spans="1:75">
      <c r="A27" s="8"/>
      <c r="B27" s="8"/>
      <c r="C27" s="181"/>
      <c r="D27" s="181"/>
      <c r="E27" s="181"/>
      <c r="F27" s="181"/>
      <c r="G27" s="532">
        <f>IF(ISERROR((C27*'Study Information &amp; rates'!$B$101+D27*'Study Information &amp; rates'!$C$101+E27*'Study Information &amp; rates'!$D$101+F27*'Study Information &amp; rates'!$F$101)),0,(C27*'Study Information &amp; rates'!$B$101+D27*'Study Information &amp; rates'!$C$101+E27*'Study Information &amp; rates'!$D$101+F27*'Study Information &amp; rates'!$F$101))</f>
        <v>0</v>
      </c>
      <c r="H27" s="8"/>
      <c r="I27" s="8"/>
      <c r="J27" s="8"/>
      <c r="K27" s="8"/>
      <c r="L27" s="8"/>
      <c r="M27" s="8"/>
      <c r="N27" s="8"/>
      <c r="O27" s="319"/>
      <c r="P27" s="319"/>
      <c r="Q27" s="319"/>
      <c r="R27" s="319"/>
      <c r="S27" s="319"/>
      <c r="T27" s="319"/>
      <c r="U27" s="319"/>
      <c r="V27" s="319"/>
      <c r="W27" s="319"/>
      <c r="X27" s="317"/>
      <c r="Y27" s="312"/>
      <c r="Z27" s="312"/>
      <c r="AA27" s="312"/>
      <c r="AB27" s="312"/>
      <c r="AC27" s="8"/>
      <c r="AD27" s="8"/>
      <c r="AE27" s="8"/>
      <c r="AF27" s="8"/>
      <c r="AG27" s="8"/>
      <c r="AH27" s="8"/>
      <c r="AI27" s="8"/>
      <c r="AJ27" s="8"/>
      <c r="AK27" s="8"/>
      <c r="AL27" s="8"/>
      <c r="AM27" s="8"/>
      <c r="AN27" s="8"/>
      <c r="AO27" s="8"/>
      <c r="AP27" s="8"/>
      <c r="AQ27" s="437"/>
      <c r="AR27" s="440">
        <f>(SUM(H27:AP27))*G27</f>
        <v>0</v>
      </c>
      <c r="AS27" s="440">
        <f>IF('Study Information &amp; rates'!$B$44="Yes",AR27*0.287,0)</f>
        <v>0</v>
      </c>
      <c r="AT27" s="440">
        <f>IF('Study Information &amp; rates'!$B$44="No",0,AR27*0.05)</f>
        <v>0</v>
      </c>
      <c r="AU27" s="440">
        <f>IF('Study Information &amp; rates'!$B$45="No",AR27+AS27+AT27,'Set-up and other costs'!$B$18*(AR27+AS27+AT27))</f>
        <v>0</v>
      </c>
      <c r="BC27" s="449">
        <f>H27*G27</f>
        <v>0</v>
      </c>
      <c r="BD27" s="449">
        <f>IF('Study Information &amp; rates'!$B$44='Study Information &amp; rates'!$V$12,BC27*0.287,0)</f>
        <v>0</v>
      </c>
      <c r="BE27" s="449">
        <f>IF((Reconciliation!$C$15)&gt;5000,BC27*0.05,0)</f>
        <v>0</v>
      </c>
      <c r="BF27" s="449">
        <f>BC27+BD27+BE27</f>
        <v>0</v>
      </c>
      <c r="BG27" s="183" t="b">
        <f>IF($B27='Look Up'!$A$5,$H27)</f>
        <v>0</v>
      </c>
      <c r="BH27" s="183" t="b">
        <f>IF($B27='Look Up'!$A$6,$H27)</f>
        <v>0</v>
      </c>
      <c r="BI27" s="183" t="b">
        <f>IF($B27='Look Up'!$A$7,$H27)</f>
        <v>0</v>
      </c>
      <c r="BJ27" s="183" t="b">
        <f>IF($B27='Look Up'!$A$7,$H27)</f>
        <v>0</v>
      </c>
      <c r="BL27" s="183">
        <f>IF($B27='Look Up'!$A$6,$C27*$H27,0)+IF($B27='Look Up'!$A$7,$C27*$H27,0)</f>
        <v>0</v>
      </c>
      <c r="BM27" s="183">
        <f>IF($B27='Look Up'!$A$6,$D27*$H27,0)+IF($B27='Look Up'!$A$7,$D27*$H27,0)</f>
        <v>0</v>
      </c>
      <c r="BN27" s="183">
        <f>IF($B27='Look Up'!$A$6,$E27*$H27,0)+IF($B27='Look Up'!$A$7,$E27*$H27,0)</f>
        <v>0</v>
      </c>
      <c r="BO27" s="183">
        <f>IF($B27='Look Up'!$A$6,$F27*$H27,0)+IF($B27='Look Up'!$A$7,$F27*$H27,0)</f>
        <v>0</v>
      </c>
      <c r="BQ27" s="470">
        <f>$C27*'Study Information &amp; rates'!$B$101*IF('Study Information &amp; rates'!$B$44='Study Information &amp; rates'!$V$12,(SUM($H27:$AP27)*1.287),(SUM($H27:$AP27)))</f>
        <v>0</v>
      </c>
      <c r="BR27" s="470">
        <f>$D27*'Study Information &amp; rates'!$C$101*IF('Study Information &amp; rates'!$B$44='Study Information &amp; rates'!$V$12,(SUM($H27:$AP27)*1.287),(SUM($H27:$AP27)))</f>
        <v>0</v>
      </c>
      <c r="BS27" s="470">
        <f>$E27*'Study Information &amp; rates'!$D$101*IF('Study Information &amp; rates'!$B$44='Study Information &amp; rates'!$V$12,(SUM($H27:$AP27)*1.287),(SUM($H27:$AP27)))</f>
        <v>0</v>
      </c>
      <c r="BT27" s="470">
        <f>$F27*'Study Information &amp; rates'!$F$101*IF('Study Information &amp; rates'!$B$44='Study Information &amp; rates'!$V$12,(SUM($H27:$AP27)*1.287),(SUM($H27:$AP27)))</f>
        <v>0</v>
      </c>
      <c r="BU27" s="471">
        <f>AR27+AS27</f>
        <v>0</v>
      </c>
      <c r="BW27" s="183">
        <f>SUM(H27:AP27)</f>
        <v>0</v>
      </c>
    </row>
    <row r="28" spans="1:75">
      <c r="A28" s="8"/>
      <c r="B28" s="8"/>
      <c r="C28" s="181"/>
      <c r="D28" s="181"/>
      <c r="E28" s="181"/>
      <c r="F28" s="181"/>
      <c r="G28" s="532">
        <f>IF(ISERROR((C28*'Study Information &amp; rates'!$B$101+D28*'Study Information &amp; rates'!$C$101+E28*'Study Information &amp; rates'!$D$101+F28*'Study Information &amp; rates'!$F$101)),0,(C28*'Study Information &amp; rates'!$B$101+D28*'Study Information &amp; rates'!$C$101+E28*'Study Information &amp; rates'!$D$101+F28*'Study Information &amp; rates'!$F$101))</f>
        <v>0</v>
      </c>
      <c r="H28" s="8"/>
      <c r="I28" s="8"/>
      <c r="J28" s="8"/>
      <c r="K28" s="8"/>
      <c r="L28" s="8"/>
      <c r="M28" s="8"/>
      <c r="N28" s="8"/>
      <c r="O28" s="319"/>
      <c r="P28" s="319"/>
      <c r="Q28" s="319"/>
      <c r="R28" s="319"/>
      <c r="S28" s="319"/>
      <c r="T28" s="319"/>
      <c r="U28" s="319"/>
      <c r="V28" s="319"/>
      <c r="W28" s="319"/>
      <c r="X28" s="315"/>
      <c r="Y28" s="8"/>
      <c r="Z28" s="8"/>
      <c r="AA28" s="8"/>
      <c r="AB28" s="8"/>
      <c r="AC28" s="8"/>
      <c r="AD28" s="8"/>
      <c r="AE28" s="8"/>
      <c r="AF28" s="8"/>
      <c r="AG28" s="8"/>
      <c r="AH28" s="8"/>
      <c r="AI28" s="8"/>
      <c r="AJ28" s="8"/>
      <c r="AK28" s="8"/>
      <c r="AL28" s="8"/>
      <c r="AM28" s="8"/>
      <c r="AN28" s="8"/>
      <c r="AO28" s="8"/>
      <c r="AP28" s="8"/>
      <c r="AQ28" s="437"/>
      <c r="AR28" s="440">
        <f>(SUM(H28:AP28))*G28</f>
        <v>0</v>
      </c>
      <c r="AS28" s="440">
        <f>IF('Study Information &amp; rates'!$B$44="Yes",AR28*0.287,0)</f>
        <v>0</v>
      </c>
      <c r="AT28" s="440">
        <f>IF('Study Information &amp; rates'!$B$44="No",0,AR28*0.05)</f>
        <v>0</v>
      </c>
      <c r="AU28" s="440">
        <f>IF('Study Information &amp; rates'!$B$45="No",AR28+AS28+AT28,'Set-up and other costs'!$B$18*(AR28+AS28+AT28))</f>
        <v>0</v>
      </c>
      <c r="BC28" s="449">
        <f>H28*G28</f>
        <v>0</v>
      </c>
      <c r="BD28" s="449">
        <f>IF('Study Information &amp; rates'!$B$44='Study Information &amp; rates'!$V$12,BC28*0.287,0)</f>
        <v>0</v>
      </c>
      <c r="BE28" s="449">
        <f>IF((Reconciliation!$C$15)&gt;5000,BC28*0.05,0)</f>
        <v>0</v>
      </c>
      <c r="BF28" s="449">
        <f>BC28+BD28+BE28</f>
        <v>0</v>
      </c>
      <c r="BG28" s="183" t="b">
        <f>IF($B28='Look Up'!$A$5,$H28)</f>
        <v>0</v>
      </c>
      <c r="BH28" s="183" t="b">
        <f>IF($B28='Look Up'!$A$6,$H28)</f>
        <v>0</v>
      </c>
      <c r="BI28" s="183" t="b">
        <f>IF($B28='Look Up'!$A$7,$H28)</f>
        <v>0</v>
      </c>
      <c r="BJ28" s="183" t="b">
        <f>IF($B28='Look Up'!$A$7,$H28)</f>
        <v>0</v>
      </c>
      <c r="BL28" s="183">
        <f>IF($B28='Look Up'!$A$6,$C28*$H28,0)+IF($B28='Look Up'!$A$7,$C28*$H28,0)</f>
        <v>0</v>
      </c>
      <c r="BM28" s="183">
        <f>IF($B28='Look Up'!$A$6,$D28*$H28,0)+IF($B28='Look Up'!$A$7,$D28*$H28,0)</f>
        <v>0</v>
      </c>
      <c r="BN28" s="183">
        <f>IF($B28='Look Up'!$A$6,$E28*$H28,0)+IF($B28='Look Up'!$A$7,$E28*$H28,0)</f>
        <v>0</v>
      </c>
      <c r="BO28" s="183">
        <f>IF($B28='Look Up'!$A$6,$F28*$H28,0)+IF($B28='Look Up'!$A$7,$F28*$H28,0)</f>
        <v>0</v>
      </c>
      <c r="BQ28" s="470">
        <f>$C28*'Study Information &amp; rates'!$B$101*IF('Study Information &amp; rates'!$B$44='Study Information &amp; rates'!$V$12,(SUM($H28:$AP28)*1.287),(SUM($H28:$AP28)))</f>
        <v>0</v>
      </c>
      <c r="BR28" s="470">
        <f>$D28*'Study Information &amp; rates'!$C$101*IF('Study Information &amp; rates'!$B$44='Study Information &amp; rates'!$V$12,(SUM($H28:$AP28)*1.287),(SUM($H28:$AP28)))</f>
        <v>0</v>
      </c>
      <c r="BS28" s="470">
        <f>$E28*'Study Information &amp; rates'!$D$101*IF('Study Information &amp; rates'!$B$44='Study Information &amp; rates'!$V$12,(SUM($H28:$AP28)*1.287),(SUM($H28:$AP28)))</f>
        <v>0</v>
      </c>
      <c r="BT28" s="470">
        <f>$F28*'Study Information &amp; rates'!$F$101*IF('Study Information &amp; rates'!$B$44='Study Information &amp; rates'!$V$12,(SUM($H28:$AP28)*1.287),(SUM($H28:$AP28)))</f>
        <v>0</v>
      </c>
      <c r="BU28" s="471">
        <f>AR28+AS28</f>
        <v>0</v>
      </c>
      <c r="BW28" s="183">
        <f>SUM(H28:AP28)</f>
        <v>0</v>
      </c>
    </row>
    <row r="29" spans="1:75">
      <c r="A29" s="8"/>
      <c r="B29" s="8"/>
      <c r="C29" s="181"/>
      <c r="D29" s="181"/>
      <c r="E29" s="181"/>
      <c r="F29" s="181"/>
      <c r="G29" s="532">
        <f>IF(ISERROR((C29*'Study Information &amp; rates'!$B$101+D29*'Study Information &amp; rates'!$C$101+E29*'Study Information &amp; rates'!$D$101+F29*'Study Information &amp; rates'!$F$101)),0,(C29*'Study Information &amp; rates'!$B$101+D29*'Study Information &amp; rates'!$C$101+E29*'Study Information &amp; rates'!$D$101+F29*'Study Information &amp; rates'!$F$101))</f>
        <v>0</v>
      </c>
      <c r="H29" s="8"/>
      <c r="I29" s="8"/>
      <c r="J29" s="8"/>
      <c r="K29" s="8"/>
      <c r="L29" s="8"/>
      <c r="M29" s="8"/>
      <c r="N29" s="8"/>
      <c r="O29" s="319"/>
      <c r="P29" s="319"/>
      <c r="Q29" s="319"/>
      <c r="R29" s="319"/>
      <c r="S29" s="319"/>
      <c r="T29" s="319"/>
      <c r="U29" s="319"/>
      <c r="V29" s="319"/>
      <c r="W29" s="319"/>
      <c r="X29" s="315"/>
      <c r="Y29" s="8"/>
      <c r="Z29" s="8"/>
      <c r="AA29" s="8"/>
      <c r="AB29" s="8"/>
      <c r="AC29" s="8"/>
      <c r="AD29" s="8"/>
      <c r="AE29" s="8"/>
      <c r="AF29" s="8"/>
      <c r="AG29" s="8"/>
      <c r="AH29" s="8"/>
      <c r="AI29" s="8"/>
      <c r="AJ29" s="8"/>
      <c r="AK29" s="8"/>
      <c r="AL29" s="8"/>
      <c r="AM29" s="8"/>
      <c r="AN29" s="8"/>
      <c r="AO29" s="8"/>
      <c r="AP29" s="8"/>
      <c r="AQ29" s="437"/>
      <c r="AR29" s="440">
        <f>(SUM(H29:AP29))*G29</f>
        <v>0</v>
      </c>
      <c r="AS29" s="440">
        <f>IF('Study Information &amp; rates'!$B$44="Yes",AR29*0.287,0)</f>
        <v>0</v>
      </c>
      <c r="AT29" s="440">
        <f>IF('Study Information &amp; rates'!$B$44="No",0,AR29*0.05)</f>
        <v>0</v>
      </c>
      <c r="AU29" s="440">
        <f>IF('Study Information &amp; rates'!$B$45="No",AR29+AS29+AT29,'Set-up and other costs'!$B$18*(AR29+AS29+AT29))</f>
        <v>0</v>
      </c>
      <c r="BC29" s="449">
        <f>H29*G29</f>
        <v>0</v>
      </c>
      <c r="BD29" s="449">
        <f>IF('Study Information &amp; rates'!$B$44='Study Information &amp; rates'!$V$12,BC29*0.287,0)</f>
        <v>0</v>
      </c>
      <c r="BE29" s="449">
        <f>IF((Reconciliation!$C$15)&gt;5000,BC29*0.05,0)</f>
        <v>0</v>
      </c>
      <c r="BF29" s="449">
        <f>BC29+BD29+BE29</f>
        <v>0</v>
      </c>
      <c r="BG29" s="183" t="b">
        <f>IF($B29='Look Up'!$A$5,$H29)</f>
        <v>0</v>
      </c>
      <c r="BH29" s="183" t="b">
        <f>IF($B29='Look Up'!$A$6,$H29)</f>
        <v>0</v>
      </c>
      <c r="BI29" s="183" t="b">
        <f>IF($B29='Look Up'!$A$7,$H29)</f>
        <v>0</v>
      </c>
      <c r="BJ29" s="183" t="b">
        <f>IF($B29='Look Up'!$A$7,$H29)</f>
        <v>0</v>
      </c>
      <c r="BL29" s="183">
        <f>IF($B29='Look Up'!$A$6,$C29*$H29,0)+IF($B29='Look Up'!$A$7,$C29*$H29,0)</f>
        <v>0</v>
      </c>
      <c r="BM29" s="183">
        <f>IF($B29='Look Up'!$A$6,$D29*$H29,0)+IF($B29='Look Up'!$A$7,$D29*$H29,0)</f>
        <v>0</v>
      </c>
      <c r="BN29" s="183">
        <f>IF($B29='Look Up'!$A$6,$E29*$H29,0)+IF($B29='Look Up'!$A$7,$E29*$H29,0)</f>
        <v>0</v>
      </c>
      <c r="BO29" s="183">
        <f>IF($B29='Look Up'!$A$6,$F29*$H29,0)+IF($B29='Look Up'!$A$7,$F29*$H29,0)</f>
        <v>0</v>
      </c>
      <c r="BQ29" s="470">
        <f>$C29*'Study Information &amp; rates'!$B$101*IF('Study Information &amp; rates'!$B$44='Study Information &amp; rates'!$V$12,(SUM($H29:$AP29)*1.287),(SUM($H29:$AP29)))</f>
        <v>0</v>
      </c>
      <c r="BR29" s="470">
        <f>$D29*'Study Information &amp; rates'!$C$101*IF('Study Information &amp; rates'!$B$44='Study Information &amp; rates'!$V$12,(SUM($H29:$AP29)*1.287),(SUM($H29:$AP29)))</f>
        <v>0</v>
      </c>
      <c r="BS29" s="470">
        <f>$E29*'Study Information &amp; rates'!$D$101*IF('Study Information &amp; rates'!$B$44='Study Information &amp; rates'!$V$12,(SUM($H29:$AP29)*1.287),(SUM($H29:$AP29)))</f>
        <v>0</v>
      </c>
      <c r="BT29" s="470">
        <f>$F29*'Study Information &amp; rates'!$F$101*IF('Study Information &amp; rates'!$B$44='Study Information &amp; rates'!$V$12,(SUM($H29:$AP29)*1.287),(SUM($H29:$AP29)))</f>
        <v>0</v>
      </c>
      <c r="BU29" s="471">
        <f>AR29+AS29</f>
        <v>0</v>
      </c>
      <c r="BW29" s="183">
        <f>SUM(H29:AP29)</f>
        <v>0</v>
      </c>
    </row>
    <row r="30" spans="1:75">
      <c r="A30" s="8"/>
      <c r="B30" s="8"/>
      <c r="C30" s="181"/>
      <c r="D30" s="181"/>
      <c r="E30" s="181"/>
      <c r="F30" s="181"/>
      <c r="G30" s="532">
        <f>IF(ISERROR((C30*'Study Information &amp; rates'!$B$101+D30*'Study Information &amp; rates'!$C$101+E30*'Study Information &amp; rates'!$D$101+F30*'Study Information &amp; rates'!$F$101)),0,(C30*'Study Information &amp; rates'!$B$101+D30*'Study Information &amp; rates'!$C$101+E30*'Study Information &amp; rates'!$D$101+F30*'Study Information &amp; rates'!$F$101))</f>
        <v>0</v>
      </c>
      <c r="H30" s="8"/>
      <c r="I30" s="8"/>
      <c r="J30" s="8"/>
      <c r="K30" s="8"/>
      <c r="L30" s="8"/>
      <c r="M30" s="8"/>
      <c r="N30" s="8"/>
      <c r="O30" s="319"/>
      <c r="P30" s="319"/>
      <c r="Q30" s="319"/>
      <c r="R30" s="319"/>
      <c r="S30" s="319"/>
      <c r="T30" s="319"/>
      <c r="U30" s="319"/>
      <c r="V30" s="319"/>
      <c r="W30" s="319"/>
      <c r="X30" s="315"/>
      <c r="Y30" s="8"/>
      <c r="Z30" s="8"/>
      <c r="AA30" s="8"/>
      <c r="AB30" s="8"/>
      <c r="AC30" s="8"/>
      <c r="AD30" s="8"/>
      <c r="AE30" s="8"/>
      <c r="AF30" s="8"/>
      <c r="AG30" s="8"/>
      <c r="AH30" s="8"/>
      <c r="AI30" s="8"/>
      <c r="AJ30" s="8"/>
      <c r="AK30" s="8"/>
      <c r="AL30" s="8"/>
      <c r="AM30" s="8"/>
      <c r="AN30" s="8"/>
      <c r="AO30" s="8"/>
      <c r="AP30" s="8"/>
      <c r="AQ30" s="437"/>
      <c r="AR30" s="440">
        <f>(SUM(H30:AP30))*G30</f>
        <v>0</v>
      </c>
      <c r="AS30" s="440">
        <f>IF('Study Information &amp; rates'!$B$44="Yes",AR30*0.287,0)</f>
        <v>0</v>
      </c>
      <c r="AT30" s="440">
        <f>IF('Study Information &amp; rates'!$B$44="No",0,AR30*0.05)</f>
        <v>0</v>
      </c>
      <c r="AU30" s="440">
        <f>IF('Study Information &amp; rates'!$B$45="No",AR30+AS30+AT30,'Set-up and other costs'!$B$18*(AR30+AS30+AT30))</f>
        <v>0</v>
      </c>
      <c r="BC30" s="449">
        <f>H30*G30</f>
        <v>0</v>
      </c>
      <c r="BD30" s="449">
        <f>IF('Study Information &amp; rates'!$B$44='Study Information &amp; rates'!$V$12,BC30*0.287,0)</f>
        <v>0</v>
      </c>
      <c r="BE30" s="449">
        <f>IF((Reconciliation!$C$15)&gt;5000,BC30*0.05,0)</f>
        <v>0</v>
      </c>
      <c r="BF30" s="449">
        <f>BC30+BD30+BE30</f>
        <v>0</v>
      </c>
      <c r="BG30" s="183" t="b">
        <f>IF($B30='Look Up'!$A$5,$H30)</f>
        <v>0</v>
      </c>
      <c r="BH30" s="183" t="b">
        <f>IF($B30='Look Up'!$A$6,$H30)</f>
        <v>0</v>
      </c>
      <c r="BI30" s="183" t="b">
        <f>IF($B30='Look Up'!$A$7,$H30)</f>
        <v>0</v>
      </c>
      <c r="BJ30" s="183" t="b">
        <f>IF($B30='Look Up'!$A$7,$H30)</f>
        <v>0</v>
      </c>
      <c r="BL30" s="183">
        <f>IF($B30='Look Up'!$A$6,$C30*$H30,0)+IF($B30='Look Up'!$A$7,$C30*$H30,0)</f>
        <v>0</v>
      </c>
      <c r="BM30" s="183">
        <f>IF($B30='Look Up'!$A$6,$D30*$H30,0)+IF($B30='Look Up'!$A$7,$D30*$H30,0)</f>
        <v>0</v>
      </c>
      <c r="BN30" s="183">
        <f>IF($B30='Look Up'!$A$6,$E30*$H30,0)+IF($B30='Look Up'!$A$7,$E30*$H30,0)</f>
        <v>0</v>
      </c>
      <c r="BO30" s="183">
        <f>IF($B30='Look Up'!$A$6,$F30*$H30,0)+IF($B30='Look Up'!$A$7,$F30*$H30,0)</f>
        <v>0</v>
      </c>
      <c r="BQ30" s="470">
        <f>$C30*'Study Information &amp; rates'!$B$101*IF('Study Information &amp; rates'!$B$44='Study Information &amp; rates'!$V$12,(SUM($H30:$AP30)*1.287),(SUM($H30:$AP30)))</f>
        <v>0</v>
      </c>
      <c r="BR30" s="470">
        <f>$D30*'Study Information &amp; rates'!$C$101*IF('Study Information &amp; rates'!$B$44='Study Information &amp; rates'!$V$12,(SUM($H30:$AP30)*1.287),(SUM($H30:$AP30)))</f>
        <v>0</v>
      </c>
      <c r="BS30" s="470">
        <f>$E30*'Study Information &amp; rates'!$D$101*IF('Study Information &amp; rates'!$B$44='Study Information &amp; rates'!$V$12,(SUM($H30:$AP30)*1.287),(SUM($H30:$AP30)))</f>
        <v>0</v>
      </c>
      <c r="BT30" s="470">
        <f>$F30*'Study Information &amp; rates'!$F$101*IF('Study Information &amp; rates'!$B$44='Study Information &amp; rates'!$V$12,(SUM($H30:$AP30)*1.287),(SUM($H30:$AP30)))</f>
        <v>0</v>
      </c>
      <c r="BU30" s="471">
        <f>AR30+AS30</f>
        <v>0</v>
      </c>
      <c r="BW30" s="183">
        <f>SUM(H30:AP30)</f>
        <v>0</v>
      </c>
    </row>
    <row r="31" spans="1:75">
      <c r="A31" s="8"/>
      <c r="B31" s="8"/>
      <c r="C31" s="311"/>
      <c r="D31" s="181"/>
      <c r="E31" s="311"/>
      <c r="F31" s="311"/>
      <c r="G31" s="532">
        <f>IF(ISERROR((C31*'Study Information &amp; rates'!$B$101+D31*'Study Information &amp; rates'!$C$101+E31*'Study Information &amp; rates'!$D$101+F31*'Study Information &amp; rates'!$F$101)),0,(C31*'Study Information &amp; rates'!$B$101+D31*'Study Information &amp; rates'!$C$101+E31*'Study Information &amp; rates'!$D$101+F31*'Study Information &amp; rates'!$F$101))</f>
        <v>0</v>
      </c>
      <c r="H31" s="319"/>
      <c r="I31" s="319"/>
      <c r="J31" s="319"/>
      <c r="K31" s="319"/>
      <c r="L31" s="319"/>
      <c r="M31" s="319"/>
      <c r="N31" s="319"/>
      <c r="O31" s="319"/>
      <c r="P31" s="319"/>
      <c r="Q31" s="319"/>
      <c r="R31" s="319"/>
      <c r="S31" s="319"/>
      <c r="T31" s="319"/>
      <c r="U31" s="319"/>
      <c r="V31" s="319"/>
      <c r="W31" s="319"/>
      <c r="X31" s="315"/>
      <c r="Y31" s="8"/>
      <c r="Z31" s="8"/>
      <c r="AA31" s="8"/>
      <c r="AB31" s="8"/>
      <c r="AC31" s="8"/>
      <c r="AD31" s="8"/>
      <c r="AE31" s="8"/>
      <c r="AF31" s="8"/>
      <c r="AG31" s="8"/>
      <c r="AH31" s="8"/>
      <c r="AI31" s="8"/>
      <c r="AJ31" s="8"/>
      <c r="AK31" s="8"/>
      <c r="AL31" s="8"/>
      <c r="AM31" s="8"/>
      <c r="AN31" s="8"/>
      <c r="AO31" s="8"/>
      <c r="AP31" s="8"/>
      <c r="AQ31" s="437"/>
      <c r="AR31" s="440">
        <f>(SUM(H31:AP31))*G31</f>
        <v>0</v>
      </c>
      <c r="AS31" s="440">
        <f>IF('Study Information &amp; rates'!$B$44="Yes",AR31*0.287,0)</f>
        <v>0</v>
      </c>
      <c r="AT31" s="440">
        <f>IF('Study Information &amp; rates'!$B$44="No",0,AR31*0.05)</f>
        <v>0</v>
      </c>
      <c r="AU31" s="440">
        <f>IF('Study Information &amp; rates'!$B$45="No",AR31+AS31+AT31,'Set-up and other costs'!$B$18*(AR31+AS31+AT31))</f>
        <v>0</v>
      </c>
      <c r="BC31" s="449">
        <f>H31*G31</f>
        <v>0</v>
      </c>
      <c r="BD31" s="449">
        <f>IF('Study Information &amp; rates'!$B$44='Study Information &amp; rates'!$V$12,BC31*0.287,0)</f>
        <v>0</v>
      </c>
      <c r="BE31" s="449">
        <f>IF((Reconciliation!$C$15)&gt;5000,BC31*0.05,0)</f>
        <v>0</v>
      </c>
      <c r="BF31" s="449">
        <f>BC31+BD31+BE31</f>
        <v>0</v>
      </c>
      <c r="BG31" s="183" t="b">
        <f>IF($B31='Look Up'!$A$5,$H31)</f>
        <v>0</v>
      </c>
      <c r="BH31" s="183" t="b">
        <f>IF($B31='Look Up'!$A$6,$H31)</f>
        <v>0</v>
      </c>
      <c r="BI31" s="183" t="b">
        <f>IF($B31='Look Up'!$A$7,$H31)</f>
        <v>0</v>
      </c>
      <c r="BJ31" s="183" t="b">
        <f>IF($B31='Look Up'!$A$7,$H31)</f>
        <v>0</v>
      </c>
      <c r="BL31" s="183">
        <f>IF($B31='Look Up'!$A$6,$C31*$H31,0)+IF($B31='Look Up'!$A$7,$C31*$H31,0)</f>
        <v>0</v>
      </c>
      <c r="BM31" s="183">
        <f>IF($B31='Look Up'!$A$6,$D31*$H31,0)+IF($B31='Look Up'!$A$7,$D31*$H31,0)</f>
        <v>0</v>
      </c>
      <c r="BN31" s="183">
        <f>IF($B31='Look Up'!$A$6,$E31*$H31,0)+IF($B31='Look Up'!$A$7,$E31*$H31,0)</f>
        <v>0</v>
      </c>
      <c r="BO31" s="183">
        <f>IF($B31='Look Up'!$A$6,$F31*$H31,0)+IF($B31='Look Up'!$A$7,$F31*$H31,0)</f>
        <v>0</v>
      </c>
      <c r="BQ31" s="470">
        <f>$C31*'Study Information &amp; rates'!$B$101*IF('Study Information &amp; rates'!$B$44='Study Information &amp; rates'!$V$12,(SUM($H31:$AP31)*1.287),(SUM($H31:$AP31)))</f>
        <v>0</v>
      </c>
      <c r="BR31" s="470">
        <f>$D31*'Study Information &amp; rates'!$C$101*IF('Study Information &amp; rates'!$B$44='Study Information &amp; rates'!$V$12,(SUM($H31:$AP31)*1.287),(SUM($H31:$AP31)))</f>
        <v>0</v>
      </c>
      <c r="BS31" s="470">
        <f>$E31*'Study Information &amp; rates'!$D$101*IF('Study Information &amp; rates'!$B$44='Study Information &amp; rates'!$V$12,(SUM($H31:$AP31)*1.287),(SUM($H31:$AP31)))</f>
        <v>0</v>
      </c>
      <c r="BT31" s="470">
        <f>$F31*'Study Information &amp; rates'!$F$101*IF('Study Information &amp; rates'!$B$44='Study Information &amp; rates'!$V$12,(SUM($H31:$AP31)*1.287),(SUM($H31:$AP31)))</f>
        <v>0</v>
      </c>
      <c r="BU31" s="471">
        <f>AR31+AS31</f>
        <v>0</v>
      </c>
      <c r="BW31" s="183">
        <f>SUM(H31:AP31)</f>
        <v>0</v>
      </c>
    </row>
    <row r="32" spans="1:75">
      <c r="A32" s="8"/>
      <c r="B32" s="8"/>
      <c r="C32" s="181"/>
      <c r="D32" s="181"/>
      <c r="E32" s="181"/>
      <c r="F32" s="181"/>
      <c r="G32" s="532">
        <f>IF(ISERROR((C32*'Study Information &amp; rates'!$B$101+D32*'Study Information &amp; rates'!$C$101+E32*'Study Information &amp; rates'!$D$101+F32*'Study Information &amp; rates'!$F$101)),0,(C32*'Study Information &amp; rates'!$B$101+D32*'Study Information &amp; rates'!$C$101+E32*'Study Information &amp; rates'!$D$101+F32*'Study Information &amp; rates'!$F$101))</f>
        <v>0</v>
      </c>
      <c r="H32" s="319"/>
      <c r="I32" s="319"/>
      <c r="J32" s="319"/>
      <c r="K32" s="319"/>
      <c r="L32" s="319"/>
      <c r="M32" s="319"/>
      <c r="N32" s="319"/>
      <c r="O32" s="319"/>
      <c r="P32" s="319"/>
      <c r="Q32" s="319"/>
      <c r="R32" s="319"/>
      <c r="S32" s="319"/>
      <c r="T32" s="319"/>
      <c r="U32" s="319"/>
      <c r="V32" s="319"/>
      <c r="W32" s="319"/>
      <c r="X32" s="315"/>
      <c r="Y32" s="8"/>
      <c r="Z32" s="8"/>
      <c r="AA32" s="8"/>
      <c r="AB32" s="8"/>
      <c r="AC32" s="8"/>
      <c r="AD32" s="8"/>
      <c r="AE32" s="8"/>
      <c r="AF32" s="8"/>
      <c r="AG32" s="8"/>
      <c r="AH32" s="8"/>
      <c r="AI32" s="8"/>
      <c r="AJ32" s="8"/>
      <c r="AK32" s="8"/>
      <c r="AL32" s="8"/>
      <c r="AM32" s="8"/>
      <c r="AN32" s="8"/>
      <c r="AO32" s="8"/>
      <c r="AP32" s="8"/>
      <c r="AQ32" s="437"/>
      <c r="AR32" s="440">
        <f>(SUM(H32:AP32))*G32</f>
        <v>0</v>
      </c>
      <c r="AS32" s="440">
        <f>IF('Study Information &amp; rates'!$B$44="Yes",AR32*0.287,0)</f>
        <v>0</v>
      </c>
      <c r="AT32" s="440">
        <f>IF('Study Information &amp; rates'!$B$44="No",0,AR32*0.05)</f>
        <v>0</v>
      </c>
      <c r="AU32" s="440">
        <f>IF('Study Information &amp; rates'!$B$45="No",AR32+AS32+AT32,'Set-up and other costs'!$B$18*(AR32+AS32+AT32))</f>
        <v>0</v>
      </c>
      <c r="BC32" s="449">
        <f>H32*G32</f>
        <v>0</v>
      </c>
      <c r="BD32" s="449">
        <f>IF('Study Information &amp; rates'!$B$44='Study Information &amp; rates'!$V$12,BC32*0.287,0)</f>
        <v>0</v>
      </c>
      <c r="BE32" s="449">
        <f>IF((Reconciliation!$C$15)&gt;5000,BC32*0.05,0)</f>
        <v>0</v>
      </c>
      <c r="BF32" s="449">
        <f>BC32+BD32+BE32</f>
        <v>0</v>
      </c>
      <c r="BG32" s="183" t="b">
        <f>IF($B32='Look Up'!$A$5,$H32)</f>
        <v>0</v>
      </c>
      <c r="BH32" s="183" t="b">
        <f>IF($B32='Look Up'!$A$6,$H32)</f>
        <v>0</v>
      </c>
      <c r="BI32" s="183" t="b">
        <f>IF($B32='Look Up'!$A$7,$H32)</f>
        <v>0</v>
      </c>
      <c r="BJ32" s="183" t="b">
        <f>IF($B32='Look Up'!$A$7,$H32)</f>
        <v>0</v>
      </c>
      <c r="BL32" s="183">
        <f>IF($B32='Look Up'!$A$6,$C32*$H32,0)+IF($B32='Look Up'!$A$7,$C32*$H32,0)</f>
        <v>0</v>
      </c>
      <c r="BM32" s="183">
        <f>IF($B32='Look Up'!$A$6,$D32*$H32,0)+IF($B32='Look Up'!$A$7,$D32*$H32,0)</f>
        <v>0</v>
      </c>
      <c r="BN32" s="183">
        <f>IF($B32='Look Up'!$A$6,$E32*$H32,0)+IF($B32='Look Up'!$A$7,$E32*$H32,0)</f>
        <v>0</v>
      </c>
      <c r="BO32" s="183">
        <f>IF($B32='Look Up'!$A$6,$F32*$H32,0)+IF($B32='Look Up'!$A$7,$F32*$H32,0)</f>
        <v>0</v>
      </c>
      <c r="BQ32" s="470">
        <f>$C32*'Study Information &amp; rates'!$B$101*IF('Study Information &amp; rates'!$B$44='Study Information &amp; rates'!$V$12,(SUM($H32:$AP32)*1.287),(SUM($H32:$AP32)))</f>
        <v>0</v>
      </c>
      <c r="BR32" s="470">
        <f>$D32*'Study Information &amp; rates'!$C$101*IF('Study Information &amp; rates'!$B$44='Study Information &amp; rates'!$V$12,(SUM($H32:$AP32)*1.287),(SUM($H32:$AP32)))</f>
        <v>0</v>
      </c>
      <c r="BS32" s="470">
        <f>$E32*'Study Information &amp; rates'!$D$101*IF('Study Information &amp; rates'!$B$44='Study Information &amp; rates'!$V$12,(SUM($H32:$AP32)*1.287),(SUM($H32:$AP32)))</f>
        <v>0</v>
      </c>
      <c r="BT32" s="470">
        <f>$F32*'Study Information &amp; rates'!$F$101*IF('Study Information &amp; rates'!$B$44='Study Information &amp; rates'!$V$12,(SUM($H32:$AP32)*1.287),(SUM($H32:$AP32)))</f>
        <v>0</v>
      </c>
      <c r="BU32" s="471">
        <f>AR32+AS32</f>
        <v>0</v>
      </c>
      <c r="BW32" s="183">
        <f>SUM(H32:AP32)</f>
        <v>0</v>
      </c>
    </row>
    <row r="33" spans="1:75">
      <c r="A33" s="8"/>
      <c r="B33" s="8"/>
      <c r="C33" s="311"/>
      <c r="D33" s="181"/>
      <c r="E33" s="311"/>
      <c r="F33" s="181"/>
      <c r="G33" s="532">
        <f>IF(ISERROR((C33*'Study Information &amp; rates'!$B$101+D33*'Study Information &amp; rates'!$C$101+E33*'Study Information &amp; rates'!$D$101+F33*'Study Information &amp; rates'!$F$101)),0,(C33*'Study Information &amp; rates'!$B$101+D33*'Study Information &amp; rates'!$C$101+E33*'Study Information &amp; rates'!$D$101+F33*'Study Information &amp; rates'!$F$101))</f>
        <v>0</v>
      </c>
      <c r="H33" s="319"/>
      <c r="I33" s="319"/>
      <c r="J33" s="319"/>
      <c r="K33" s="319"/>
      <c r="L33" s="319"/>
      <c r="M33" s="319"/>
      <c r="N33" s="319"/>
      <c r="O33" s="319"/>
      <c r="P33" s="319"/>
      <c r="Q33" s="319"/>
      <c r="R33" s="319"/>
      <c r="S33" s="319"/>
      <c r="T33" s="319"/>
      <c r="U33" s="319"/>
      <c r="V33" s="319"/>
      <c r="W33" s="319"/>
      <c r="X33" s="315"/>
      <c r="Y33" s="8"/>
      <c r="Z33" s="8"/>
      <c r="AA33" s="8"/>
      <c r="AB33" s="8"/>
      <c r="AC33" s="8"/>
      <c r="AD33" s="8"/>
      <c r="AE33" s="8"/>
      <c r="AF33" s="8"/>
      <c r="AG33" s="8"/>
      <c r="AH33" s="8"/>
      <c r="AI33" s="8"/>
      <c r="AJ33" s="8"/>
      <c r="AK33" s="8"/>
      <c r="AL33" s="8"/>
      <c r="AM33" s="8"/>
      <c r="AN33" s="8"/>
      <c r="AO33" s="8"/>
      <c r="AP33" s="8"/>
      <c r="AQ33" s="437"/>
      <c r="AR33" s="440">
        <f>(SUM(H33:AP33))*G33</f>
        <v>0</v>
      </c>
      <c r="AS33" s="440">
        <f>IF('Study Information &amp; rates'!$B$44="Yes",AR33*0.287,0)</f>
        <v>0</v>
      </c>
      <c r="AT33" s="440">
        <f>IF('Study Information &amp; rates'!$B$44="No",0,AR33*0.05)</f>
        <v>0</v>
      </c>
      <c r="AU33" s="440">
        <f>IF('Study Information &amp; rates'!$B$45="No",AR33+AS33+AT33,'Set-up and other costs'!$B$18*(AR33+AS33+AT33))</f>
        <v>0</v>
      </c>
      <c r="BC33" s="449">
        <f>H33*G33</f>
        <v>0</v>
      </c>
      <c r="BD33" s="449">
        <f>IF('Study Information &amp; rates'!$B$44='Study Information &amp; rates'!$V$12,BC33*0.287,0)</f>
        <v>0</v>
      </c>
      <c r="BE33" s="449">
        <f>IF((Reconciliation!$C$15)&gt;5000,BC33*0.05,0)</f>
        <v>0</v>
      </c>
      <c r="BF33" s="449">
        <f>BC33+BD33+BE33</f>
        <v>0</v>
      </c>
      <c r="BG33" s="183" t="b">
        <f>IF($B33='Look Up'!$A$5,$H33)</f>
        <v>0</v>
      </c>
      <c r="BH33" s="183" t="b">
        <f>IF($B33='Look Up'!$A$6,$H33)</f>
        <v>0</v>
      </c>
      <c r="BI33" s="183" t="b">
        <f>IF($B33='Look Up'!$A$7,$H33)</f>
        <v>0</v>
      </c>
      <c r="BJ33" s="183" t="b">
        <f>IF($B33='Look Up'!$A$7,$H33)</f>
        <v>0</v>
      </c>
      <c r="BL33" s="183">
        <f>IF($B33='Look Up'!$A$6,$C33*$H33,0)+IF($B33='Look Up'!$A$7,$C33*$H33,0)</f>
        <v>0</v>
      </c>
      <c r="BM33" s="183">
        <f>IF($B33='Look Up'!$A$6,$D33*$H33,0)+IF($B33='Look Up'!$A$7,$D33*$H33,0)</f>
        <v>0</v>
      </c>
      <c r="BN33" s="183">
        <f>IF($B33='Look Up'!$A$6,$E33*$H33,0)+IF($B33='Look Up'!$A$7,$E33*$H33,0)</f>
        <v>0</v>
      </c>
      <c r="BO33" s="183">
        <f>IF($B33='Look Up'!$A$6,$F33*$H33,0)+IF($B33='Look Up'!$A$7,$F33*$H33,0)</f>
        <v>0</v>
      </c>
      <c r="BQ33" s="470">
        <f>$C33*'Study Information &amp; rates'!$B$101*IF('Study Information &amp; rates'!$B$44='Study Information &amp; rates'!$V$12,(SUM($H33:$AP33)*1.287),(SUM($H33:$AP33)))</f>
        <v>0</v>
      </c>
      <c r="BR33" s="470">
        <f>$D33*'Study Information &amp; rates'!$C$101*IF('Study Information &amp; rates'!$B$44='Study Information &amp; rates'!$V$12,(SUM($H33:$AP33)*1.287),(SUM($H33:$AP33)))</f>
        <v>0</v>
      </c>
      <c r="BS33" s="470">
        <f>$E33*'Study Information &amp; rates'!$D$101*IF('Study Information &amp; rates'!$B$44='Study Information &amp; rates'!$V$12,(SUM($H33:$AP33)*1.287),(SUM($H33:$AP33)))</f>
        <v>0</v>
      </c>
      <c r="BT33" s="470">
        <f>$F33*'Study Information &amp; rates'!$F$101*IF('Study Information &amp; rates'!$B$44='Study Information &amp; rates'!$V$12,(SUM($H33:$AP33)*1.287),(SUM($H33:$AP33)))</f>
        <v>0</v>
      </c>
      <c r="BU33" s="471">
        <f>AR33+AS33</f>
        <v>0</v>
      </c>
      <c r="BW33" s="183">
        <f>SUM(H33:AP33)</f>
        <v>0</v>
      </c>
    </row>
    <row r="34" spans="1:75">
      <c r="A34" s="8"/>
      <c r="B34" s="8"/>
      <c r="C34" s="311"/>
      <c r="D34" s="181"/>
      <c r="E34" s="311"/>
      <c r="F34" s="181"/>
      <c r="G34" s="532">
        <f>IF(ISERROR((C34*'Study Information &amp; rates'!$B$101+D34*'Study Information &amp; rates'!$C$101+E34*'Study Information &amp; rates'!$D$101+F34*'Study Information &amp; rates'!$F$101)),0,(C34*'Study Information &amp; rates'!$B$101+D34*'Study Information &amp; rates'!$C$101+E34*'Study Information &amp; rates'!$D$101+F34*'Study Information &amp; rates'!$F$101))</f>
        <v>0</v>
      </c>
      <c r="H34" s="319"/>
      <c r="I34" s="319"/>
      <c r="J34" s="319"/>
      <c r="K34" s="319"/>
      <c r="L34" s="319"/>
      <c r="M34" s="319"/>
      <c r="N34" s="319"/>
      <c r="O34" s="319"/>
      <c r="P34" s="319"/>
      <c r="Q34" s="319"/>
      <c r="R34" s="319"/>
      <c r="S34" s="319"/>
      <c r="T34" s="319"/>
      <c r="U34" s="319"/>
      <c r="V34" s="319"/>
      <c r="W34" s="319"/>
      <c r="X34" s="315"/>
      <c r="Y34" s="8"/>
      <c r="Z34" s="8"/>
      <c r="AA34" s="8"/>
      <c r="AB34" s="8"/>
      <c r="AC34" s="8"/>
      <c r="AD34" s="8"/>
      <c r="AE34" s="8"/>
      <c r="AF34" s="8"/>
      <c r="AG34" s="8"/>
      <c r="AH34" s="8"/>
      <c r="AI34" s="8"/>
      <c r="AJ34" s="8"/>
      <c r="AK34" s="8"/>
      <c r="AL34" s="8"/>
      <c r="AM34" s="8"/>
      <c r="AN34" s="8"/>
      <c r="AO34" s="8"/>
      <c r="AP34" s="8"/>
      <c r="AQ34" s="437"/>
      <c r="AR34" s="440">
        <f>(SUM(H34:AP34))*G34</f>
        <v>0</v>
      </c>
      <c r="AS34" s="440">
        <f>IF('Study Information &amp; rates'!$B$44="Yes",AR34*0.287,0)</f>
        <v>0</v>
      </c>
      <c r="AT34" s="440">
        <f>IF('Study Information &amp; rates'!$B$44="No",0,AR34*0.05)</f>
        <v>0</v>
      </c>
      <c r="AU34" s="440">
        <f>IF('Study Information &amp; rates'!$B$45="No",AR34+AS34+AT34,'Set-up and other costs'!$B$18*(AR34+AS34+AT34))</f>
        <v>0</v>
      </c>
      <c r="BC34" s="449">
        <f>H34*G34</f>
        <v>0</v>
      </c>
      <c r="BD34" s="449">
        <f>IF('Study Information &amp; rates'!$B$44='Study Information &amp; rates'!$V$12,BC34*0.287,0)</f>
        <v>0</v>
      </c>
      <c r="BE34" s="449">
        <f>IF((Reconciliation!$C$15)&gt;5000,BC34*0.05,0)</f>
        <v>0</v>
      </c>
      <c r="BF34" s="449">
        <f>BC34+BD34+BE34</f>
        <v>0</v>
      </c>
      <c r="BG34" s="183" t="b">
        <f>IF($B34='Look Up'!$A$5,$H34)</f>
        <v>0</v>
      </c>
      <c r="BH34" s="183" t="b">
        <f>IF($B34='Look Up'!$A$6,$H34)</f>
        <v>0</v>
      </c>
      <c r="BI34" s="183" t="b">
        <f>IF($B34='Look Up'!$A$7,$H34)</f>
        <v>0</v>
      </c>
      <c r="BJ34" s="183" t="b">
        <f>IF($B34='Look Up'!$A$7,$H34)</f>
        <v>0</v>
      </c>
      <c r="BL34" s="183">
        <f>IF($B34='Look Up'!$A$6,$C34*$H34,0)+IF($B34='Look Up'!$A$7,$C34*$H34,0)</f>
        <v>0</v>
      </c>
      <c r="BM34" s="183">
        <f>IF($B34='Look Up'!$A$6,$D34*$H34,0)+IF($B34='Look Up'!$A$7,$D34*$H34,0)</f>
        <v>0</v>
      </c>
      <c r="BN34" s="183">
        <f>IF($B34='Look Up'!$A$6,$E34*$H34,0)+IF($B34='Look Up'!$A$7,$E34*$H34,0)</f>
        <v>0</v>
      </c>
      <c r="BO34" s="183">
        <f>IF($B34='Look Up'!$A$6,$F34*$H34,0)+IF($B34='Look Up'!$A$7,$F34*$H34,0)</f>
        <v>0</v>
      </c>
      <c r="BQ34" s="470">
        <f>$C34*'Study Information &amp; rates'!$B$101*IF('Study Information &amp; rates'!$B$44='Study Information &amp; rates'!$V$12,(SUM($H34:$AP34)*1.287),(SUM($H34:$AP34)))</f>
        <v>0</v>
      </c>
      <c r="BR34" s="470">
        <f>$D34*'Study Information &amp; rates'!$C$101*IF('Study Information &amp; rates'!$B$44='Study Information &amp; rates'!$V$12,(SUM($H34:$AP34)*1.287),(SUM($H34:$AP34)))</f>
        <v>0</v>
      </c>
      <c r="BS34" s="470">
        <f>$E34*'Study Information &amp; rates'!$D$101*IF('Study Information &amp; rates'!$B$44='Study Information &amp; rates'!$V$12,(SUM($H34:$AP34)*1.287),(SUM($H34:$AP34)))</f>
        <v>0</v>
      </c>
      <c r="BT34" s="470">
        <f>$F34*'Study Information &amp; rates'!$F$101*IF('Study Information &amp; rates'!$B$44='Study Information &amp; rates'!$V$12,(SUM($H34:$AP34)*1.287),(SUM($H34:$AP34)))</f>
        <v>0</v>
      </c>
      <c r="BU34" s="471">
        <f>AR34+AS34</f>
        <v>0</v>
      </c>
      <c r="BW34" s="183">
        <f>SUM(H34:AP34)</f>
        <v>0</v>
      </c>
    </row>
    <row r="35" spans="1:75">
      <c r="A35" s="8"/>
      <c r="B35" s="8"/>
      <c r="C35" s="311"/>
      <c r="D35" s="181"/>
      <c r="E35" s="311"/>
      <c r="F35" s="181"/>
      <c r="G35" s="532">
        <f>IF(ISERROR((C35*'Study Information &amp; rates'!$B$101+D35*'Study Information &amp; rates'!$C$101+E35*'Study Information &amp; rates'!$D$101+F35*'Study Information &amp; rates'!$F$101)),0,(C35*'Study Information &amp; rates'!$B$101+D35*'Study Information &amp; rates'!$C$101+E35*'Study Information &amp; rates'!$D$101+F35*'Study Information &amp; rates'!$F$101))</f>
        <v>0</v>
      </c>
      <c r="H35" s="319"/>
      <c r="I35" s="319"/>
      <c r="J35" s="319"/>
      <c r="K35" s="319"/>
      <c r="L35" s="319"/>
      <c r="M35" s="319"/>
      <c r="N35" s="319"/>
      <c r="O35" s="319"/>
      <c r="P35" s="319"/>
      <c r="Q35" s="319"/>
      <c r="R35" s="319"/>
      <c r="S35" s="319"/>
      <c r="T35" s="319"/>
      <c r="U35" s="319"/>
      <c r="V35" s="319"/>
      <c r="W35" s="319"/>
      <c r="X35" s="315"/>
      <c r="Y35" s="8"/>
      <c r="Z35" s="8"/>
      <c r="AA35" s="8"/>
      <c r="AB35" s="8"/>
      <c r="AC35" s="8"/>
      <c r="AD35" s="8"/>
      <c r="AE35" s="8"/>
      <c r="AF35" s="8"/>
      <c r="AG35" s="8"/>
      <c r="AH35" s="8"/>
      <c r="AI35" s="8"/>
      <c r="AJ35" s="8"/>
      <c r="AK35" s="8"/>
      <c r="AL35" s="8"/>
      <c r="AM35" s="8"/>
      <c r="AN35" s="8"/>
      <c r="AO35" s="8"/>
      <c r="AP35" s="8"/>
      <c r="AQ35" s="437"/>
      <c r="AR35" s="440">
        <f>(SUM(H35:AP35))*G35</f>
        <v>0</v>
      </c>
      <c r="AS35" s="440">
        <f>IF('Study Information &amp; rates'!$B$44="Yes",AR35*0.287,0)</f>
        <v>0</v>
      </c>
      <c r="AT35" s="440">
        <f>IF('Study Information &amp; rates'!$B$44="No",0,AR35*0.05)</f>
        <v>0</v>
      </c>
      <c r="AU35" s="440">
        <f>IF('Study Information &amp; rates'!$B$45="No",AR35+AS35+AT35,'Set-up and other costs'!$B$18*(AR35+AS35+AT35))</f>
        <v>0</v>
      </c>
      <c r="BC35" s="449">
        <f>H35*G35</f>
        <v>0</v>
      </c>
      <c r="BD35" s="449">
        <f>IF('Study Information &amp; rates'!$B$44='Study Information &amp; rates'!$V$12,BC35*0.287,0)</f>
        <v>0</v>
      </c>
      <c r="BE35" s="449">
        <f>IF((Reconciliation!$C$15)&gt;5000,BC35*0.05,0)</f>
        <v>0</v>
      </c>
      <c r="BF35" s="449">
        <f>BC35+BD35+BE35</f>
        <v>0</v>
      </c>
      <c r="BG35" s="183" t="b">
        <f>IF($B35='Look Up'!$A$5,$H35)</f>
        <v>0</v>
      </c>
      <c r="BH35" s="183" t="b">
        <f>IF($B35='Look Up'!$A$6,$H35)</f>
        <v>0</v>
      </c>
      <c r="BI35" s="183" t="b">
        <f>IF($B35='Look Up'!$A$7,$H35)</f>
        <v>0</v>
      </c>
      <c r="BJ35" s="183" t="b">
        <f>IF($B35='Look Up'!$A$7,$H35)</f>
        <v>0</v>
      </c>
      <c r="BL35" s="183">
        <f>IF($B35='[7]Look Up'!$A$6,$C35*$H35,0)+IF($B35='[7]Look Up'!$A$7,$C35*$H35,0)</f>
        <v>0</v>
      </c>
      <c r="BM35" s="183">
        <f>IF($B35='[7]Look Up'!$A$6,$D35*$H35,0)+IF($B35='[7]Look Up'!$A$7,$D35*$H35,0)</f>
        <v>0</v>
      </c>
      <c r="BN35" s="183">
        <f>IF($B35='[7]Look Up'!$A$6,$E35*$H35,0)+IF($B35='[7]Look Up'!$A$7,$E35*$H35,0)</f>
        <v>0</v>
      </c>
      <c r="BO35" s="183">
        <f>IF($B35='[7]Look Up'!$A$6,$F35*$H35,0)+IF($B35='[7]Look Up'!$A$7,$F35*$H35,0)</f>
        <v>0</v>
      </c>
      <c r="BQ35" s="470">
        <f>$C35*'Study Information &amp; rates'!$B$101*IF('Study Information &amp; rates'!$B$44='Study Information &amp; rates'!$V$12,(SUM($H35:$AP35)*1.287),(SUM($H35:$AP35)))</f>
        <v>0</v>
      </c>
      <c r="BR35" s="470">
        <f>$D35*'Study Information &amp; rates'!$C$101*IF('Study Information &amp; rates'!$B$44='Study Information &amp; rates'!$V$12,(SUM($H35:$AP35)*1.287),(SUM($H35:$AP35)))</f>
        <v>0</v>
      </c>
      <c r="BS35" s="470">
        <f>$E35*'Study Information &amp; rates'!$D$101*IF('Study Information &amp; rates'!$B$44='Study Information &amp; rates'!$V$12,(SUM($H35:$AP35)*1.287),(SUM($H35:$AP35)))</f>
        <v>0</v>
      </c>
      <c r="BT35" s="470">
        <f>$F35*'Study Information &amp; rates'!$F$101*IF('Study Information &amp; rates'!$B$44='Study Information &amp; rates'!$V$12,(SUM($H35:$AP35)*1.287),(SUM($H35:$AP35)))</f>
        <v>0</v>
      </c>
      <c r="BU35" s="471">
        <f>AR35+AS35</f>
        <v>0</v>
      </c>
      <c r="BW35" s="183">
        <f>SUM(H35:AP35)</f>
        <v>0</v>
      </c>
    </row>
    <row r="36" spans="1:75">
      <c r="A36" s="8"/>
      <c r="B36" s="8"/>
      <c r="C36" s="311"/>
      <c r="D36" s="181"/>
      <c r="E36" s="311"/>
      <c r="F36" s="181"/>
      <c r="G36" s="532">
        <f>IF(ISERROR((C36*'Study Information &amp; rates'!$B$101+D36*'Study Information &amp; rates'!$C$101+E36*'Study Information &amp; rates'!$D$101+F36*'Study Information &amp; rates'!$F$101)),0,(C36*'Study Information &amp; rates'!$B$101+D36*'Study Information &amp; rates'!$C$101+E36*'Study Information &amp; rates'!$D$101+F36*'Study Information &amp; rates'!$F$101))</f>
        <v>0</v>
      </c>
      <c r="H36" s="319"/>
      <c r="I36" s="319"/>
      <c r="J36" s="319"/>
      <c r="K36" s="319"/>
      <c r="L36" s="319"/>
      <c r="M36" s="319"/>
      <c r="N36" s="319"/>
      <c r="O36" s="319"/>
      <c r="P36" s="319"/>
      <c r="Q36" s="319"/>
      <c r="R36" s="319"/>
      <c r="S36" s="319"/>
      <c r="T36" s="319"/>
      <c r="U36" s="319"/>
      <c r="V36" s="319"/>
      <c r="W36" s="319"/>
      <c r="X36" s="315"/>
      <c r="Y36" s="8"/>
      <c r="Z36" s="8"/>
      <c r="AA36" s="8"/>
      <c r="AB36" s="8"/>
      <c r="AC36" s="8"/>
      <c r="AD36" s="8"/>
      <c r="AE36" s="8"/>
      <c r="AF36" s="8"/>
      <c r="AG36" s="8"/>
      <c r="AH36" s="8"/>
      <c r="AI36" s="8"/>
      <c r="AJ36" s="8"/>
      <c r="AK36" s="8"/>
      <c r="AL36" s="8"/>
      <c r="AM36" s="8"/>
      <c r="AN36" s="8"/>
      <c r="AO36" s="8"/>
      <c r="AP36" s="8"/>
      <c r="AQ36" s="437"/>
      <c r="AR36" s="440">
        <f>(SUM(H36:AP36))*G36</f>
        <v>0</v>
      </c>
      <c r="AS36" s="440">
        <f>IF('Study Information &amp; rates'!$B$44="Yes",AR36*0.287,0)</f>
        <v>0</v>
      </c>
      <c r="AT36" s="440">
        <f>IF('Study Information &amp; rates'!$B$44="No",0,AR36*0.05)</f>
        <v>0</v>
      </c>
      <c r="AU36" s="440">
        <f>IF('Study Information &amp; rates'!$B$45="No",AR36+AS36+AT36,'Set-up and other costs'!$B$18*(AR36+AS36+AT36))</f>
        <v>0</v>
      </c>
      <c r="BC36" s="449">
        <f>H36*G36</f>
        <v>0</v>
      </c>
      <c r="BD36" s="449">
        <f>IF('Study Information &amp; rates'!$B$44='Study Information &amp; rates'!$V$12,BC36*0.287,0)</f>
        <v>0</v>
      </c>
      <c r="BE36" s="449">
        <f>IF((Reconciliation!$C$15)&gt;5000,BC36*0.05,0)</f>
        <v>0</v>
      </c>
      <c r="BF36" s="449">
        <f>BC36+BD36+BE36</f>
        <v>0</v>
      </c>
      <c r="BG36" s="183" t="b">
        <f>IF($B36='Look Up'!$A$5,$H36)</f>
        <v>0</v>
      </c>
      <c r="BH36" s="183" t="b">
        <f>IF($B36='Look Up'!$A$6,$H36)</f>
        <v>0</v>
      </c>
      <c r="BI36" s="183" t="b">
        <f>IF($B36='Look Up'!$A$7,$H36)</f>
        <v>0</v>
      </c>
      <c r="BJ36" s="183" t="b">
        <f>IF($B36='Look Up'!$A$7,$H36)</f>
        <v>0</v>
      </c>
      <c r="BL36" s="183">
        <f>IF($B36='[7]Look Up'!$A$6,$C36*$H36,0)+IF($B36='[7]Look Up'!$A$7,$C36*$H36,0)</f>
        <v>0</v>
      </c>
      <c r="BM36" s="183">
        <f>IF($B36='[7]Look Up'!$A$6,$D36*$H36,0)+IF($B36='[7]Look Up'!$A$7,$D36*$H36,0)</f>
        <v>0</v>
      </c>
      <c r="BN36" s="183">
        <f>IF($B36='[7]Look Up'!$A$6,$E36*$H36,0)+IF($B36='[7]Look Up'!$A$7,$E36*$H36,0)</f>
        <v>0</v>
      </c>
      <c r="BO36" s="183">
        <f>IF($B36='[7]Look Up'!$A$6,$F36*$H36,0)+IF($B36='[7]Look Up'!$A$7,$F36*$H36,0)</f>
        <v>0</v>
      </c>
      <c r="BQ36" s="470">
        <f>$C36*'Study Information &amp; rates'!$B$101*IF('Study Information &amp; rates'!$B$44='Study Information &amp; rates'!$V$12,(SUM($H36:$AP36)*1.287),(SUM($H36:$AP36)))</f>
        <v>0</v>
      </c>
      <c r="BR36" s="470">
        <f>$D36*'Study Information &amp; rates'!$C$101*IF('Study Information &amp; rates'!$B$44='Study Information &amp; rates'!$V$12,(SUM($H36:$AP36)*1.287),(SUM($H36:$AP36)))</f>
        <v>0</v>
      </c>
      <c r="BS36" s="470">
        <f>$E36*'Study Information &amp; rates'!$D$101*IF('Study Information &amp; rates'!$B$44='Study Information &amp; rates'!$V$12,(SUM($H36:$AP36)*1.287),(SUM($H36:$AP36)))</f>
        <v>0</v>
      </c>
      <c r="BT36" s="470">
        <f>$F36*'Study Information &amp; rates'!$F$101*IF('Study Information &amp; rates'!$B$44='Study Information &amp; rates'!$V$12,(SUM($H36:$AP36)*1.287),(SUM($H36:$AP36)))</f>
        <v>0</v>
      </c>
      <c r="BU36" s="471">
        <f>AR36+AS36</f>
        <v>0</v>
      </c>
      <c r="BW36" s="183">
        <f>SUM(H36:AP36)</f>
        <v>0</v>
      </c>
    </row>
    <row r="37" spans="1:75">
      <c r="A37" s="8"/>
      <c r="B37" s="8"/>
      <c r="C37" s="311"/>
      <c r="D37" s="181"/>
      <c r="E37" s="311"/>
      <c r="F37" s="181"/>
      <c r="G37" s="532">
        <f>IF(ISERROR((C37*'Study Information &amp; rates'!$B$101+D37*'Study Information &amp; rates'!$C$101+E37*'Study Information &amp; rates'!$D$101+F37*'Study Information &amp; rates'!$F$101)),0,(C37*'Study Information &amp; rates'!$B$101+D37*'Study Information &amp; rates'!$C$101+E37*'Study Information &amp; rates'!$D$101+F37*'Study Information &amp; rates'!$F$101))</f>
        <v>0</v>
      </c>
      <c r="H37" s="319"/>
      <c r="I37" s="319"/>
      <c r="J37" s="319"/>
      <c r="K37" s="319"/>
      <c r="L37" s="319"/>
      <c r="M37" s="319"/>
      <c r="N37" s="319"/>
      <c r="O37" s="319"/>
      <c r="P37" s="319"/>
      <c r="Q37" s="319"/>
      <c r="R37" s="319"/>
      <c r="S37" s="319"/>
      <c r="T37" s="319"/>
      <c r="U37" s="319"/>
      <c r="V37" s="319"/>
      <c r="W37" s="319"/>
      <c r="X37" s="315"/>
      <c r="Y37" s="8"/>
      <c r="Z37" s="8"/>
      <c r="AA37" s="8"/>
      <c r="AB37" s="8"/>
      <c r="AC37" s="8"/>
      <c r="AD37" s="8"/>
      <c r="AE37" s="8"/>
      <c r="AF37" s="8"/>
      <c r="AG37" s="8"/>
      <c r="AH37" s="8"/>
      <c r="AI37" s="8"/>
      <c r="AJ37" s="8"/>
      <c r="AK37" s="8"/>
      <c r="AL37" s="8"/>
      <c r="AM37" s="8"/>
      <c r="AN37" s="8"/>
      <c r="AO37" s="8"/>
      <c r="AP37" s="8"/>
      <c r="AQ37" s="437"/>
      <c r="AR37" s="440">
        <f>(SUM(H37:AP37))*G37</f>
        <v>0</v>
      </c>
      <c r="AS37" s="440">
        <f>IF('Study Information &amp; rates'!$B$44="Yes",AR37*0.287,0)</f>
        <v>0</v>
      </c>
      <c r="AT37" s="440">
        <f>IF('Study Information &amp; rates'!$B$44="No",0,AR37*0.05)</f>
        <v>0</v>
      </c>
      <c r="AU37" s="440">
        <f>IF('Study Information &amp; rates'!$B$45="No",AR37+AS37+AT37,'Set-up and other costs'!$B$18*(AR37+AS37+AT37))</f>
        <v>0</v>
      </c>
      <c r="BC37" s="449">
        <f>H37*G37</f>
        <v>0</v>
      </c>
      <c r="BD37" s="449">
        <f>IF('Study Information &amp; rates'!$B$44='Study Information &amp; rates'!$V$12,BC37*0.287,0)</f>
        <v>0</v>
      </c>
      <c r="BE37" s="449">
        <f>IF((Reconciliation!$C$15)&gt;5000,BC37*0.05,0)</f>
        <v>0</v>
      </c>
      <c r="BF37" s="449">
        <f>BC37+BD37+BE37</f>
        <v>0</v>
      </c>
      <c r="BG37" s="183" t="b">
        <f>IF($B37='Look Up'!$A$5,$H37)</f>
        <v>0</v>
      </c>
      <c r="BH37" s="183" t="b">
        <f>IF($B37='Look Up'!$A$6,$H37)</f>
        <v>0</v>
      </c>
      <c r="BI37" s="183" t="b">
        <f>IF($B37='Look Up'!$A$7,$H37)</f>
        <v>0</v>
      </c>
      <c r="BJ37" s="183" t="b">
        <f>IF($B37='Look Up'!$A$7,$H37)</f>
        <v>0</v>
      </c>
      <c r="BL37" s="183">
        <f>IF($B37='[7]Look Up'!$A$6,$C37*$H37,0)+IF($B37='[7]Look Up'!$A$7,$C37*$H37,0)</f>
        <v>0</v>
      </c>
      <c r="BM37" s="183">
        <f>IF($B37='[7]Look Up'!$A$6,$D37*$H37,0)+IF($B37='[7]Look Up'!$A$7,$D37*$H37,0)</f>
        <v>0</v>
      </c>
      <c r="BN37" s="183">
        <f>IF($B37='[7]Look Up'!$A$6,$E37*$H37,0)+IF($B37='[7]Look Up'!$A$7,$E37*$H37,0)</f>
        <v>0</v>
      </c>
      <c r="BO37" s="183">
        <f>IF($B37='[7]Look Up'!$A$6,$F37*$H37,0)+IF($B37='[7]Look Up'!$A$7,$F37*$H37,0)</f>
        <v>0</v>
      </c>
      <c r="BQ37" s="470">
        <f>$C37*'Study Information &amp; rates'!$B$101*IF('Study Information &amp; rates'!$B$44='Study Information &amp; rates'!$V$12,(SUM($H37:$AP37)*1.287),(SUM($H37:$AP37)))</f>
        <v>0</v>
      </c>
      <c r="BR37" s="470">
        <f>$D37*'Study Information &amp; rates'!$C$101*IF('Study Information &amp; rates'!$B$44='Study Information &amp; rates'!$V$12,(SUM($H37:$AP37)*1.287),(SUM($H37:$AP37)))</f>
        <v>0</v>
      </c>
      <c r="BS37" s="470">
        <f>$E37*'Study Information &amp; rates'!$D$101*IF('Study Information &amp; rates'!$B$44='Study Information &amp; rates'!$V$12,(SUM($H37:$AP37)*1.287),(SUM($H37:$AP37)))</f>
        <v>0</v>
      </c>
      <c r="BT37" s="470">
        <f>$F37*'Study Information &amp; rates'!$F$101*IF('Study Information &amp; rates'!$B$44='Study Information &amp; rates'!$V$12,(SUM($H37:$AP37)*1.287),(SUM($H37:$AP37)))</f>
        <v>0</v>
      </c>
      <c r="BU37" s="471">
        <f>AR37+AS37</f>
        <v>0</v>
      </c>
      <c r="BW37" s="183">
        <f>SUM(H37:AP37)</f>
        <v>0</v>
      </c>
    </row>
    <row r="38" spans="1:75">
      <c r="A38" s="8"/>
      <c r="B38" s="8"/>
      <c r="C38" s="311"/>
      <c r="D38" s="181"/>
      <c r="E38" s="311"/>
      <c r="F38" s="181"/>
      <c r="G38" s="532">
        <f>IF(ISERROR((C38*'Study Information &amp; rates'!$B$101+D38*'Study Information &amp; rates'!$C$101+E38*'Study Information &amp; rates'!$D$101+F38*'Study Information &amp; rates'!$F$101)),0,(C38*'Study Information &amp; rates'!$B$101+D38*'Study Information &amp; rates'!$C$101+E38*'Study Information &amp; rates'!$D$101+F38*'Study Information &amp; rates'!$F$101))</f>
        <v>0</v>
      </c>
      <c r="H38" s="319"/>
      <c r="I38" s="319"/>
      <c r="J38" s="319"/>
      <c r="K38" s="319"/>
      <c r="L38" s="319"/>
      <c r="M38" s="319"/>
      <c r="N38" s="319"/>
      <c r="O38" s="319"/>
      <c r="P38" s="319"/>
      <c r="Q38" s="319"/>
      <c r="R38" s="319"/>
      <c r="S38" s="319"/>
      <c r="T38" s="319"/>
      <c r="U38" s="319"/>
      <c r="V38" s="319"/>
      <c r="W38" s="319"/>
      <c r="X38" s="315"/>
      <c r="Y38" s="8"/>
      <c r="Z38" s="8"/>
      <c r="AA38" s="8"/>
      <c r="AB38" s="8"/>
      <c r="AC38" s="8"/>
      <c r="AD38" s="8"/>
      <c r="AE38" s="8"/>
      <c r="AF38" s="8"/>
      <c r="AG38" s="8"/>
      <c r="AH38" s="8"/>
      <c r="AI38" s="8"/>
      <c r="AJ38" s="8"/>
      <c r="AK38" s="8"/>
      <c r="AL38" s="8"/>
      <c r="AM38" s="8"/>
      <c r="AN38" s="8"/>
      <c r="AO38" s="8"/>
      <c r="AP38" s="8"/>
      <c r="AQ38" s="437"/>
      <c r="AR38" s="440">
        <f>(SUM(H38:AP38))*G38</f>
        <v>0</v>
      </c>
      <c r="AS38" s="440">
        <f>IF('Study Information &amp; rates'!$B$44="Yes",AR38*0.287,0)</f>
        <v>0</v>
      </c>
      <c r="AT38" s="440">
        <f>IF('Study Information &amp; rates'!$B$44="No",0,AR38*0.05)</f>
        <v>0</v>
      </c>
      <c r="AU38" s="440">
        <f>IF('Study Information &amp; rates'!$B$45="No",AR38+AS38+AT38,'Set-up and other costs'!$B$18*(AR38+AS38+AT38))</f>
        <v>0</v>
      </c>
      <c r="BC38" s="449">
        <f>H38*G38</f>
        <v>0</v>
      </c>
      <c r="BD38" s="449">
        <f>IF('Study Information &amp; rates'!$B$44='Study Information &amp; rates'!$V$12,BC38*0.287,0)</f>
        <v>0</v>
      </c>
      <c r="BE38" s="449">
        <f>IF((Reconciliation!$C$15)&gt;5000,BC38*0.05,0)</f>
        <v>0</v>
      </c>
      <c r="BF38" s="449">
        <f>BC38+BD38+BE38</f>
        <v>0</v>
      </c>
      <c r="BG38" s="183" t="b">
        <f>IF($B38='Look Up'!$A$5,$H38)</f>
        <v>0</v>
      </c>
      <c r="BH38" s="183" t="b">
        <f>IF($B38='Look Up'!$A$6,$H38)</f>
        <v>0</v>
      </c>
      <c r="BI38" s="183" t="b">
        <f>IF($B38='Look Up'!$A$7,$H38)</f>
        <v>0</v>
      </c>
      <c r="BJ38" s="183" t="b">
        <f>IF($B38='Look Up'!$A$7,$H38)</f>
        <v>0</v>
      </c>
      <c r="BL38" s="183">
        <f>IF($B38='[7]Look Up'!$A$6,$C38*$H38,0)+IF($B38='[7]Look Up'!$A$7,$C38*$H38,0)</f>
        <v>0</v>
      </c>
      <c r="BM38" s="183">
        <f>IF($B38='[7]Look Up'!$A$6,$D38*$H38,0)+IF($B38='[7]Look Up'!$A$7,$D38*$H38,0)</f>
        <v>0</v>
      </c>
      <c r="BN38" s="183">
        <f>IF($B38='[7]Look Up'!$A$6,$E38*$H38,0)+IF($B38='[7]Look Up'!$A$7,$E38*$H38,0)</f>
        <v>0</v>
      </c>
      <c r="BO38" s="183">
        <f>IF($B38='[7]Look Up'!$A$6,$F38*$H38,0)+IF($B38='[7]Look Up'!$A$7,$F38*$H38,0)</f>
        <v>0</v>
      </c>
      <c r="BQ38" s="470">
        <f>$C38*'Study Information &amp; rates'!$B$101*IF('Study Information &amp; rates'!$B$44='Study Information &amp; rates'!$V$12,(SUM($H38:$AP38)*1.287),(SUM($H38:$AP38)))</f>
        <v>0</v>
      </c>
      <c r="BR38" s="470">
        <f>$D38*'Study Information &amp; rates'!$C$101*IF('Study Information &amp; rates'!$B$44='Study Information &amp; rates'!$V$12,(SUM($H38:$AP38)*1.287),(SUM($H38:$AP38)))</f>
        <v>0</v>
      </c>
      <c r="BS38" s="470">
        <f>$E38*'Study Information &amp; rates'!$D$101*IF('Study Information &amp; rates'!$B$44='Study Information &amp; rates'!$V$12,(SUM($H38:$AP38)*1.287),(SUM($H38:$AP38)))</f>
        <v>0</v>
      </c>
      <c r="BT38" s="470">
        <f>$F38*'Study Information &amp; rates'!$F$101*IF('Study Information &amp; rates'!$B$44='Study Information &amp; rates'!$V$12,(SUM($H38:$AP38)*1.287),(SUM($H38:$AP38)))</f>
        <v>0</v>
      </c>
      <c r="BU38" s="471">
        <f>AR38+AS38</f>
        <v>0</v>
      </c>
      <c r="BW38" s="183">
        <f>SUM(H38:AP38)</f>
        <v>0</v>
      </c>
    </row>
    <row r="39" spans="1:75">
      <c r="A39" s="8"/>
      <c r="B39" s="8"/>
      <c r="C39" s="181"/>
      <c r="D39" s="181"/>
      <c r="E39" s="181"/>
      <c r="F39" s="181"/>
      <c r="G39" s="532">
        <f>IF(ISERROR((C39*'Study Information &amp; rates'!$B$101+D39*'Study Information &amp; rates'!$C$101+E39*'Study Information &amp; rates'!$D$101+F39*'Study Information &amp; rates'!$F$101)),0,(C39*'Study Information &amp; rates'!$B$101+D39*'Study Information &amp; rates'!$C$101+E39*'Study Information &amp; rates'!$D$101+F39*'Study Information &amp; rates'!$F$101))</f>
        <v>0</v>
      </c>
      <c r="H39" s="319"/>
      <c r="I39" s="319"/>
      <c r="J39" s="319"/>
      <c r="K39" s="319"/>
      <c r="L39" s="319"/>
      <c r="M39" s="319"/>
      <c r="N39" s="319"/>
      <c r="O39" s="319"/>
      <c r="P39" s="319"/>
      <c r="Q39" s="319"/>
      <c r="R39" s="319"/>
      <c r="S39" s="319"/>
      <c r="T39" s="319"/>
      <c r="U39" s="319"/>
      <c r="V39" s="319"/>
      <c r="W39" s="319"/>
      <c r="X39" s="315"/>
      <c r="Y39" s="8"/>
      <c r="Z39" s="8"/>
      <c r="AA39" s="8"/>
      <c r="AB39" s="8"/>
      <c r="AC39" s="8"/>
      <c r="AD39" s="8"/>
      <c r="AE39" s="8"/>
      <c r="AF39" s="8"/>
      <c r="AG39" s="8"/>
      <c r="AH39" s="8"/>
      <c r="AI39" s="8"/>
      <c r="AJ39" s="8"/>
      <c r="AK39" s="8"/>
      <c r="AL39" s="8"/>
      <c r="AM39" s="8"/>
      <c r="AN39" s="8"/>
      <c r="AO39" s="8"/>
      <c r="AP39" s="8"/>
      <c r="AQ39" s="437"/>
      <c r="AR39" s="440">
        <f>(SUM(H39:AP39))*G39</f>
        <v>0</v>
      </c>
      <c r="AS39" s="440">
        <f>IF('Study Information &amp; rates'!$B$44="Yes",AR39*0.287,0)</f>
        <v>0</v>
      </c>
      <c r="AT39" s="440">
        <f>IF('Study Information &amp; rates'!$B$44="No",0,AR39*0.05)</f>
        <v>0</v>
      </c>
      <c r="AU39" s="440">
        <f>IF('Study Information &amp; rates'!$B$45="No",AR39+AS39+AT39,'Set-up and other costs'!$B$18*(AR39+AS39+AT39))</f>
        <v>0</v>
      </c>
      <c r="BC39" s="449">
        <f>H39*G39</f>
        <v>0</v>
      </c>
      <c r="BD39" s="449">
        <f>IF('Study Information &amp; rates'!$B$44='Study Information &amp; rates'!$V$12,BC39*0.287,0)</f>
        <v>0</v>
      </c>
      <c r="BE39" s="449">
        <f>IF((Reconciliation!$C$15)&gt;5000,BC39*0.05,0)</f>
        <v>0</v>
      </c>
      <c r="BF39" s="449">
        <f>BC39+BD39+BE39</f>
        <v>0</v>
      </c>
      <c r="BG39" s="183" t="b">
        <f>IF($B39='Look Up'!$A$5,$H39)</f>
        <v>0</v>
      </c>
      <c r="BH39" s="183" t="b">
        <f>IF($B39='Look Up'!$A$6,$H39)</f>
        <v>0</v>
      </c>
      <c r="BI39" s="183" t="b">
        <f>IF($B39='Look Up'!$A$7,$H39)</f>
        <v>0</v>
      </c>
      <c r="BJ39" s="183" t="b">
        <f>IF($B39='Look Up'!$A$7,$H39)</f>
        <v>0</v>
      </c>
      <c r="BL39" s="183">
        <f>IF($B39='[7]Look Up'!$A$6,$C39*$H39,0)+IF($B39='[7]Look Up'!$A$7,$C39*$H39,0)</f>
        <v>0</v>
      </c>
      <c r="BM39" s="183">
        <f>IF($B39='[7]Look Up'!$A$6,$D39*$H39,0)+IF($B39='[7]Look Up'!$A$7,$D39*$H39,0)</f>
        <v>0</v>
      </c>
      <c r="BN39" s="183">
        <f>IF($B39='[7]Look Up'!$A$6,$E39*$H39,0)+IF($B39='[7]Look Up'!$A$7,$E39*$H39,0)</f>
        <v>0</v>
      </c>
      <c r="BO39" s="183">
        <f>IF($B39='[7]Look Up'!$A$6,$F39*$H39,0)+IF($B39='[7]Look Up'!$A$7,$F39*$H39,0)</f>
        <v>0</v>
      </c>
      <c r="BQ39" s="470">
        <f>$C39*'Study Information &amp; rates'!$B$101*IF('Study Information &amp; rates'!$B$44='Study Information &amp; rates'!$V$12,(SUM($H39:$AP39)*1.287),(SUM($H39:$AP39)))</f>
        <v>0</v>
      </c>
      <c r="BR39" s="470">
        <f>$D39*'Study Information &amp; rates'!$C$101*IF('Study Information &amp; rates'!$B$44='Study Information &amp; rates'!$V$12,(SUM($H39:$AP39)*1.287),(SUM($H39:$AP39)))</f>
        <v>0</v>
      </c>
      <c r="BS39" s="470">
        <f>$E39*'Study Information &amp; rates'!$D$101*IF('Study Information &amp; rates'!$B$44='Study Information &amp; rates'!$V$12,(SUM($H39:$AP39)*1.287),(SUM($H39:$AP39)))</f>
        <v>0</v>
      </c>
      <c r="BT39" s="470">
        <f>$F39*'Study Information &amp; rates'!$F$101*IF('Study Information &amp; rates'!$B$44='Study Information &amp; rates'!$V$12,(SUM($H39:$AP39)*1.287),(SUM($H39:$AP39)))</f>
        <v>0</v>
      </c>
      <c r="BU39" s="471">
        <f>AR39+AS39</f>
        <v>0</v>
      </c>
      <c r="BW39" s="183">
        <f>SUM(H39:AP39)</f>
        <v>0</v>
      </c>
    </row>
    <row r="40" spans="1:75">
      <c r="A40" s="8"/>
      <c r="B40" s="8"/>
      <c r="C40" s="181"/>
      <c r="D40" s="181"/>
      <c r="E40" s="181"/>
      <c r="F40" s="181"/>
      <c r="G40" s="532">
        <f>IF(ISERROR((C40*'Study Information &amp; rates'!$B$101+D40*'Study Information &amp; rates'!$C$101+E40*'Study Information &amp; rates'!$D$101+F40*'Study Information &amp; rates'!$F$101)),0,(C40*'Study Information &amp; rates'!$B$101+D40*'Study Information &amp; rates'!$C$101+E40*'Study Information &amp; rates'!$D$101+F40*'Study Information &amp; rates'!$F$101))</f>
        <v>0</v>
      </c>
      <c r="H40" s="319"/>
      <c r="I40" s="319"/>
      <c r="J40" s="319"/>
      <c r="K40" s="319"/>
      <c r="L40" s="319"/>
      <c r="M40" s="319"/>
      <c r="N40" s="319"/>
      <c r="O40" s="319"/>
      <c r="P40" s="319"/>
      <c r="Q40" s="319"/>
      <c r="R40" s="319"/>
      <c r="S40" s="319"/>
      <c r="T40" s="319"/>
      <c r="U40" s="319"/>
      <c r="V40" s="319"/>
      <c r="W40" s="319"/>
      <c r="X40" s="315"/>
      <c r="Y40" s="8"/>
      <c r="Z40" s="8"/>
      <c r="AA40" s="8"/>
      <c r="AB40" s="8"/>
      <c r="AC40" s="8"/>
      <c r="AD40" s="8"/>
      <c r="AE40" s="8"/>
      <c r="AF40" s="8"/>
      <c r="AG40" s="8"/>
      <c r="AH40" s="8"/>
      <c r="AI40" s="8"/>
      <c r="AJ40" s="8"/>
      <c r="AK40" s="8"/>
      <c r="AL40" s="8"/>
      <c r="AM40" s="8"/>
      <c r="AN40" s="8"/>
      <c r="AO40" s="8"/>
      <c r="AP40" s="8"/>
      <c r="AQ40" s="437"/>
      <c r="AR40" s="440">
        <f>(SUM(H40:AP40))*G40</f>
        <v>0</v>
      </c>
      <c r="AS40" s="440">
        <f>IF('Study Information &amp; rates'!$B$44="Yes",AR40*0.287,0)</f>
        <v>0</v>
      </c>
      <c r="AT40" s="440">
        <f>IF('Study Information &amp; rates'!$B$44="No",0,AR40*0.05)</f>
        <v>0</v>
      </c>
      <c r="AU40" s="440">
        <f>IF('Study Information &amp; rates'!$B$45="No",AR40+AS40+AT40,'Set-up and other costs'!$B$18*(AR40+AS40+AT40))</f>
        <v>0</v>
      </c>
      <c r="BC40" s="449">
        <f>H40*G40</f>
        <v>0</v>
      </c>
      <c r="BD40" s="449">
        <f>IF('Study Information &amp; rates'!$B$44='Study Information &amp; rates'!$V$12,BC40*0.287,0)</f>
        <v>0</v>
      </c>
      <c r="BE40" s="449">
        <f>IF((Reconciliation!$C$15)&gt;5000,BC40*0.05,0)</f>
        <v>0</v>
      </c>
      <c r="BF40" s="449">
        <f>BC40+BD40+BE40</f>
        <v>0</v>
      </c>
      <c r="BG40" s="183" t="b">
        <f>IF($B40='Look Up'!$A$5,$H40)</f>
        <v>0</v>
      </c>
      <c r="BH40" s="183" t="b">
        <f>IF($B40='Look Up'!$A$6,$H40)</f>
        <v>0</v>
      </c>
      <c r="BI40" s="183" t="b">
        <f>IF($B40='Look Up'!$A$7,$H40)</f>
        <v>0</v>
      </c>
      <c r="BJ40" s="183" t="b">
        <f>IF($B40='Look Up'!$A$7,$H40)</f>
        <v>0</v>
      </c>
      <c r="BL40" s="183">
        <f>IF($B40='[7]Look Up'!$A$6,$C40*$H40,0)+IF($B40='[7]Look Up'!$A$7,$C40*$H40,0)</f>
        <v>0</v>
      </c>
      <c r="BM40" s="183">
        <f>IF($B40='[7]Look Up'!$A$6,$D40*$H40,0)+IF($B40='[7]Look Up'!$A$7,$D40*$H40,0)</f>
        <v>0</v>
      </c>
      <c r="BN40" s="183">
        <f>IF($B40='[7]Look Up'!$A$6,$E40*$H40,0)+IF($B40='[7]Look Up'!$A$7,$E40*$H40,0)</f>
        <v>0</v>
      </c>
      <c r="BO40" s="183">
        <f>IF($B40='[7]Look Up'!$A$6,$F40*$H40,0)+IF($B40='[7]Look Up'!$A$7,$F40*$H40,0)</f>
        <v>0</v>
      </c>
      <c r="BQ40" s="470">
        <f>$C40*'Study Information &amp; rates'!$B$101*IF('Study Information &amp; rates'!$B$44='Study Information &amp; rates'!$V$12,(SUM($H40:$AP40)*1.287),(SUM($H40:$AP40)))</f>
        <v>0</v>
      </c>
      <c r="BR40" s="470">
        <f>$D40*'Study Information &amp; rates'!$C$101*IF('Study Information &amp; rates'!$B$44='Study Information &amp; rates'!$V$12,(SUM($H40:$AP40)*1.287),(SUM($H40:$AP40)))</f>
        <v>0</v>
      </c>
      <c r="BS40" s="470">
        <f>$E40*'Study Information &amp; rates'!$D$101*IF('Study Information &amp; rates'!$B$44='Study Information &amp; rates'!$V$12,(SUM($H40:$AP40)*1.287),(SUM($H40:$AP40)))</f>
        <v>0</v>
      </c>
      <c r="BT40" s="470">
        <f>$F40*'Study Information &amp; rates'!$F$101*IF('Study Information &amp; rates'!$B$44='Study Information &amp; rates'!$V$12,(SUM($H40:$AP40)*1.287),(SUM($H40:$AP40)))</f>
        <v>0</v>
      </c>
      <c r="BU40" s="471">
        <f>AR40+AS40</f>
        <v>0</v>
      </c>
      <c r="BW40" s="183">
        <f>SUM(H40:AP40)</f>
        <v>0</v>
      </c>
    </row>
    <row r="41" spans="1:75">
      <c r="A41" s="8"/>
      <c r="B41" s="8"/>
      <c r="C41" s="181"/>
      <c r="D41" s="181"/>
      <c r="E41" s="181"/>
      <c r="F41" s="181"/>
      <c r="G41" s="532">
        <f>IF(ISERROR((C41*'Study Information &amp; rates'!$B$101+D41*'Study Information &amp; rates'!$C$101+E41*'Study Information &amp; rates'!$D$101+F41*'Study Information &amp; rates'!$F$101)),0,(C41*'Study Information &amp; rates'!$B$101+D41*'Study Information &amp; rates'!$C$101+E41*'Study Information &amp; rates'!$D$101+F41*'Study Information &amp; rates'!$F$101))</f>
        <v>0</v>
      </c>
      <c r="H41" s="319"/>
      <c r="I41" s="319"/>
      <c r="J41" s="319"/>
      <c r="K41" s="319"/>
      <c r="L41" s="319"/>
      <c r="M41" s="319"/>
      <c r="N41" s="319"/>
      <c r="O41" s="319"/>
      <c r="P41" s="319"/>
      <c r="Q41" s="319"/>
      <c r="R41" s="319"/>
      <c r="S41" s="319"/>
      <c r="T41" s="319"/>
      <c r="U41" s="319"/>
      <c r="V41" s="319"/>
      <c r="W41" s="319"/>
      <c r="X41" s="318"/>
      <c r="Y41" s="327"/>
      <c r="Z41" s="327"/>
      <c r="AA41" s="327"/>
      <c r="AB41" s="327"/>
      <c r="AC41" s="327"/>
      <c r="AD41" s="327"/>
      <c r="AE41" s="327"/>
      <c r="AF41" s="327"/>
      <c r="AG41" s="327"/>
      <c r="AH41" s="327"/>
      <c r="AI41" s="327"/>
      <c r="AJ41" s="327"/>
      <c r="AK41" s="327"/>
      <c r="AL41" s="327"/>
      <c r="AM41" s="327"/>
      <c r="AN41" s="327"/>
      <c r="AO41" s="327"/>
      <c r="AP41" s="327"/>
      <c r="AQ41" s="437"/>
      <c r="AR41" s="440">
        <f>(SUM(H41:AP41))*G41</f>
        <v>0</v>
      </c>
      <c r="AS41" s="440">
        <f>IF('Study Information &amp; rates'!$B$44="Yes",AR41*0.287,0)</f>
        <v>0</v>
      </c>
      <c r="AT41" s="440">
        <f>IF('Study Information &amp; rates'!$B$44="No",0,AR41*0.05)</f>
        <v>0</v>
      </c>
      <c r="AU41" s="440">
        <f>IF('Study Information &amp; rates'!$B$45="No",AR41+AS41+AT41,'Set-up and other costs'!$B$18*(AR41+AS41+AT41))</f>
        <v>0</v>
      </c>
      <c r="BC41" s="449">
        <f>H41*G41</f>
        <v>0</v>
      </c>
      <c r="BD41" s="449">
        <f>IF('Study Information &amp; rates'!$B$44='Study Information &amp; rates'!$V$12,BC41*0.287,0)</f>
        <v>0</v>
      </c>
      <c r="BE41" s="449">
        <f>IF((Reconciliation!$C$15)&gt;5000,BC41*0.05,0)</f>
        <v>0</v>
      </c>
      <c r="BF41" s="449">
        <f>BC41+BD41+BE41</f>
        <v>0</v>
      </c>
      <c r="BG41" s="183" t="b">
        <f>IF($B41='Look Up'!$A$5,$H41)</f>
        <v>0</v>
      </c>
      <c r="BH41" s="183" t="b">
        <f>IF($B41='Look Up'!$A$6,$H41)</f>
        <v>0</v>
      </c>
      <c r="BI41" s="183" t="b">
        <f>IF($B41='Look Up'!$A$7,$H41)</f>
        <v>0</v>
      </c>
      <c r="BJ41" s="183" t="b">
        <f>IF($B41='Look Up'!$A$7,$H41)</f>
        <v>0</v>
      </c>
      <c r="BL41" s="183">
        <f>IF($B41='[7]Look Up'!$A$6,$C41*$H41,0)+IF($B41='[7]Look Up'!$A$7,$C41*$H41,0)</f>
        <v>0</v>
      </c>
      <c r="BM41" s="183">
        <f>IF($B41='[7]Look Up'!$A$6,$D41*$H41,0)+IF($B41='[7]Look Up'!$A$7,$D41*$H41,0)</f>
        <v>0</v>
      </c>
      <c r="BN41" s="183">
        <f>IF($B41='[7]Look Up'!$A$6,$E41*$H41,0)+IF($B41='[7]Look Up'!$A$7,$E41*$H41,0)</f>
        <v>0</v>
      </c>
      <c r="BO41" s="183">
        <f>IF($B41='[7]Look Up'!$A$6,$F41*$H41,0)+IF($B41='[7]Look Up'!$A$7,$F41*$H41,0)</f>
        <v>0</v>
      </c>
      <c r="BQ41" s="470">
        <f>$C41*'Study Information &amp; rates'!$B$101*IF('Study Information &amp; rates'!$B$44='Study Information &amp; rates'!$V$12,(SUM($H41:$AP41)*1.287),(SUM($H41:$AP41)))</f>
        <v>0</v>
      </c>
      <c r="BR41" s="470">
        <f>$D41*'Study Information &amp; rates'!$C$101*IF('Study Information &amp; rates'!$B$44='Study Information &amp; rates'!$V$12,(SUM($H41:$AP41)*1.287),(SUM($H41:$AP41)))</f>
        <v>0</v>
      </c>
      <c r="BS41" s="470">
        <f>$E41*'Study Information &amp; rates'!$D$101*IF('Study Information &amp; rates'!$B$44='Study Information &amp; rates'!$V$12,(SUM($H41:$AP41)*1.287),(SUM($H41:$AP41)))</f>
        <v>0</v>
      </c>
      <c r="BT41" s="470">
        <f>$F41*'Study Information &amp; rates'!$F$101*IF('Study Information &amp; rates'!$B$44='Study Information &amp; rates'!$V$12,(SUM($H41:$AP41)*1.287),(SUM($H41:$AP41)))</f>
        <v>0</v>
      </c>
      <c r="BU41" s="471">
        <f>AR41+AS41</f>
        <v>0</v>
      </c>
      <c r="BW41" s="183">
        <f>SUM(H41:AP41)</f>
        <v>0</v>
      </c>
    </row>
    <row r="42" spans="1:75">
      <c r="A42" s="8"/>
      <c r="B42" s="8"/>
      <c r="C42" s="181"/>
      <c r="D42" s="181"/>
      <c r="E42" s="181"/>
      <c r="F42" s="181"/>
      <c r="G42" s="532">
        <f>IF(ISERROR((C42*'Study Information &amp; rates'!$B$101+D42*'Study Information &amp; rates'!$C$101+E42*'Study Information &amp; rates'!$D$101+F42*'Study Information &amp; rates'!$F$101)),0,(C42*'Study Information &amp; rates'!$B$101+D42*'Study Information &amp; rates'!$C$101+E42*'Study Information &amp; rates'!$D$101+F42*'Study Information &amp; rates'!$F$101))</f>
        <v>0</v>
      </c>
      <c r="H42" s="319"/>
      <c r="I42" s="319"/>
      <c r="J42" s="319"/>
      <c r="K42" s="319"/>
      <c r="L42" s="319"/>
      <c r="M42" s="319"/>
      <c r="N42" s="319"/>
      <c r="O42" s="319"/>
      <c r="P42" s="319"/>
      <c r="Q42" s="319"/>
      <c r="R42" s="319"/>
      <c r="S42" s="319"/>
      <c r="T42" s="319"/>
      <c r="U42" s="319"/>
      <c r="V42" s="319"/>
      <c r="W42" s="319"/>
      <c r="X42" s="318"/>
      <c r="Y42" s="327"/>
      <c r="Z42" s="327"/>
      <c r="AA42" s="327"/>
      <c r="AB42" s="327"/>
      <c r="AC42" s="327"/>
      <c r="AD42" s="327"/>
      <c r="AE42" s="327"/>
      <c r="AF42" s="327"/>
      <c r="AG42" s="327"/>
      <c r="AH42" s="327"/>
      <c r="AI42" s="327"/>
      <c r="AJ42" s="327"/>
      <c r="AK42" s="327"/>
      <c r="AL42" s="327"/>
      <c r="AM42" s="327"/>
      <c r="AN42" s="327"/>
      <c r="AO42" s="327"/>
      <c r="AP42" s="327"/>
      <c r="AQ42" s="437"/>
      <c r="AR42" s="440">
        <f>(SUM(H42:AP42))*G42</f>
        <v>0</v>
      </c>
      <c r="AS42" s="440">
        <f>IF('Study Information &amp; rates'!$B$44="Yes",AR42*0.287,0)</f>
        <v>0</v>
      </c>
      <c r="AT42" s="440">
        <f>IF('Study Information &amp; rates'!$B$44="No",0,AR42*0.05)</f>
        <v>0</v>
      </c>
      <c r="AU42" s="440">
        <f>IF('Study Information &amp; rates'!$B$45="No",AR42+AS42+AT42,'Set-up and other costs'!$B$18*(AR42+AS42+AT42))</f>
        <v>0</v>
      </c>
      <c r="BC42" s="449">
        <f>H42*G42</f>
        <v>0</v>
      </c>
      <c r="BD42" s="449">
        <f>IF('Study Information &amp; rates'!$B$44='Study Information &amp; rates'!$V$12,BC42*0.287,0)</f>
        <v>0</v>
      </c>
      <c r="BE42" s="449">
        <f>IF((Reconciliation!$C$15)&gt;5000,BC42*0.05,0)</f>
        <v>0</v>
      </c>
      <c r="BF42" s="449">
        <f>BC42+BD42+BE42</f>
        <v>0</v>
      </c>
      <c r="BG42" s="183" t="b">
        <f>IF($B42='Look Up'!$A$5,$H42)</f>
        <v>0</v>
      </c>
      <c r="BH42" s="183" t="b">
        <f>IF($B42='Look Up'!$A$6,$H42)</f>
        <v>0</v>
      </c>
      <c r="BI42" s="183" t="b">
        <f>IF($B42='Look Up'!$A$7,$H42)</f>
        <v>0</v>
      </c>
      <c r="BJ42" s="183" t="b">
        <f>IF($B42='Look Up'!$A$7,$H42)</f>
        <v>0</v>
      </c>
      <c r="BL42" s="183">
        <f>IF($B42='[7]Look Up'!$A$6,$C42*$H42,0)+IF($B42='[7]Look Up'!$A$7,$C42*$H42,0)</f>
        <v>0</v>
      </c>
      <c r="BM42" s="183">
        <f>IF($B42='[7]Look Up'!$A$6,$D42*$H42,0)+IF($B42='[7]Look Up'!$A$7,$D42*$H42,0)</f>
        <v>0</v>
      </c>
      <c r="BN42" s="183">
        <f>IF($B42='[7]Look Up'!$A$6,$E42*$H42,0)+IF($B42='[7]Look Up'!$A$7,$E42*$H42,0)</f>
        <v>0</v>
      </c>
      <c r="BO42" s="183">
        <f>IF($B42='[7]Look Up'!$A$6,$F42*$H42,0)+IF($B42='[7]Look Up'!$A$7,$F42*$H42,0)</f>
        <v>0</v>
      </c>
      <c r="BQ42" s="470">
        <f>$C42*'Study Information &amp; rates'!$B$101*IF('Study Information &amp; rates'!$B$44='Study Information &amp; rates'!$V$12,(SUM($H42:$AP42)*1.287),(SUM($H42:$AP42)))</f>
        <v>0</v>
      </c>
      <c r="BR42" s="470">
        <f>$D42*'Study Information &amp; rates'!$C$101*IF('Study Information &amp; rates'!$B$44='Study Information &amp; rates'!$V$12,(SUM($H42:$AP42)*1.287),(SUM($H42:$AP42)))</f>
        <v>0</v>
      </c>
      <c r="BS42" s="470">
        <f>$E42*'Study Information &amp; rates'!$D$101*IF('Study Information &amp; rates'!$B$44='Study Information &amp; rates'!$V$12,(SUM($H42:$AP42)*1.287),(SUM($H42:$AP42)))</f>
        <v>0</v>
      </c>
      <c r="BT42" s="470">
        <f>$F42*'Study Information &amp; rates'!$F$101*IF('Study Information &amp; rates'!$B$44='Study Information &amp; rates'!$V$12,(SUM($H42:$AP42)*1.287),(SUM($H42:$AP42)))</f>
        <v>0</v>
      </c>
      <c r="BU42" s="471">
        <f>AR42+AS42</f>
        <v>0</v>
      </c>
      <c r="BW42" s="183">
        <f>SUM(H42:AP42)</f>
        <v>0</v>
      </c>
    </row>
    <row r="43" spans="1:75">
      <c r="A43" s="8"/>
      <c r="B43" s="8"/>
      <c r="C43" s="181"/>
      <c r="D43" s="181"/>
      <c r="E43" s="181"/>
      <c r="F43" s="181"/>
      <c r="G43" s="532">
        <f>IF(ISERROR((C43*'Study Information &amp; rates'!$B$101+D43*'Study Information &amp; rates'!$C$101+E43*'Study Information &amp; rates'!$D$101+F43*'Study Information &amp; rates'!$F$101)),0,(C43*'Study Information &amp; rates'!$B$101+D43*'Study Information &amp; rates'!$C$101+E43*'Study Information &amp; rates'!$D$101+F43*'Study Information &amp; rates'!$F$101))</f>
        <v>0</v>
      </c>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437"/>
      <c r="AR43" s="440">
        <f>(SUM(H43:AP43))*G43</f>
        <v>0</v>
      </c>
      <c r="AS43" s="440">
        <f>IF('Study Information &amp; rates'!$B$44="Yes",AR43*0.287,0)</f>
        <v>0</v>
      </c>
      <c r="AT43" s="440">
        <f>IF('Study Information &amp; rates'!$B$44="No",0,AR43*0.05)</f>
        <v>0</v>
      </c>
      <c r="AU43" s="440">
        <f>IF('Study Information &amp; rates'!$B$45="No",AR43+AS43+AT43,'Set-up and other costs'!$B$18*(AR43+AS43+AT43))</f>
        <v>0</v>
      </c>
      <c r="AW43" s="471"/>
      <c r="BC43" s="449">
        <f>H43*G43</f>
        <v>0</v>
      </c>
      <c r="BD43" s="449">
        <f>IF('Study Information &amp; rates'!$B$44='Study Information &amp; rates'!$V$12,BC43*0.287,0)</f>
        <v>0</v>
      </c>
      <c r="BE43" s="449">
        <f>IF((Reconciliation!$C$15)&gt;5000,BC43*0.05,0)</f>
        <v>0</v>
      </c>
      <c r="BF43" s="449">
        <f>BC43+BD43+BE43</f>
        <v>0</v>
      </c>
      <c r="BG43" s="183" t="b">
        <f>IF($B43='Look Up'!$A$5,$H43)</f>
        <v>0</v>
      </c>
      <c r="BH43" s="183" t="b">
        <f>IF($B43='Look Up'!$A$6,$H43)</f>
        <v>0</v>
      </c>
      <c r="BI43" s="183" t="b">
        <f>IF($B43='Look Up'!$A$7,$H43)</f>
        <v>0</v>
      </c>
      <c r="BJ43" s="183" t="b">
        <f>IF($B43='Look Up'!$A$7,$H43)</f>
        <v>0</v>
      </c>
      <c r="BL43" s="183">
        <f>IF($B43='[7]Look Up'!$A$6,$C43*$H43,0)+IF($B43='[7]Look Up'!$A$7,$C43*$H43,0)</f>
        <v>0</v>
      </c>
      <c r="BM43" s="183">
        <f>IF($B43='[7]Look Up'!$A$6,$D43*$H43,0)+IF($B43='[7]Look Up'!$A$7,$D43*$H43,0)</f>
        <v>0</v>
      </c>
      <c r="BN43" s="183">
        <f>IF($B43='[7]Look Up'!$A$6,$E43*$H43,0)+IF($B43='[7]Look Up'!$A$7,$E43*$H43,0)</f>
        <v>0</v>
      </c>
      <c r="BO43" s="183">
        <f>IF($B43='[7]Look Up'!$A$6,$F43*$H43,0)+IF($B43='[7]Look Up'!$A$7,$F43*$H43,0)</f>
        <v>0</v>
      </c>
      <c r="BQ43" s="470">
        <f>$C43*'Study Information &amp; rates'!$B$101*IF('Study Information &amp; rates'!$B$44='Study Information &amp; rates'!$V$12,(SUM($H43:$AP43)*1.287),(SUM($H43:$AP43)))</f>
        <v>0</v>
      </c>
      <c r="BR43" s="470">
        <f>$D43*'Study Information &amp; rates'!$C$101*IF('Study Information &amp; rates'!$B$44='Study Information &amp; rates'!$V$12,(SUM($H43:$AP43)*1.287),(SUM($H43:$AP43)))</f>
        <v>0</v>
      </c>
      <c r="BS43" s="470">
        <f>$E43*'Study Information &amp; rates'!$D$101*IF('Study Information &amp; rates'!$B$44='Study Information &amp; rates'!$V$12,(SUM($H43:$AP43)*1.287),(SUM($H43:$AP43)))</f>
        <v>0</v>
      </c>
      <c r="BT43" s="470">
        <f>$F43*'Study Information &amp; rates'!$F$101*IF('Study Information &amp; rates'!$B$44='Study Information &amp; rates'!$V$12,(SUM($H43:$AP43)*1.287),(SUM($H43:$AP43)))</f>
        <v>0</v>
      </c>
      <c r="BU43" s="471">
        <f>AR43+AS43</f>
        <v>0</v>
      </c>
      <c r="BW43" s="183">
        <f>SUM(H43:AP43)</f>
        <v>0</v>
      </c>
    </row>
    <row r="44" spans="1:75">
      <c r="A44" s="8"/>
      <c r="B44" s="8"/>
      <c r="C44" s="181"/>
      <c r="D44" s="181"/>
      <c r="E44" s="181"/>
      <c r="F44" s="181"/>
      <c r="G44" s="532">
        <f>IF(ISERROR((C44*'Study Information &amp; rates'!$B$101+D44*'Study Information &amp; rates'!$C$101+E44*'Study Information &amp; rates'!$D$101+F44*'Study Information &amp; rates'!$F$101)),0,(C44*'Study Information &amp; rates'!$B$101+D44*'Study Information &amp; rates'!$C$101+E44*'Study Information &amp; rates'!$D$101+F44*'Study Information &amp; rates'!$F$101))</f>
        <v>0</v>
      </c>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437"/>
      <c r="AR44" s="440">
        <f>(SUM(H44:AP44))*G44</f>
        <v>0</v>
      </c>
      <c r="AS44" s="440">
        <f>IF('Study Information &amp; rates'!$B$44="Yes",AR44*0.287,0)</f>
        <v>0</v>
      </c>
      <c r="AT44" s="440">
        <f>IF('Study Information &amp; rates'!$B$44="No",0,AR44*0.05)</f>
        <v>0</v>
      </c>
      <c r="AU44" s="440">
        <f>IF('Study Information &amp; rates'!$B$45="No",AR44+AS44+AT44,'Set-up and other costs'!$B$18*(AR44+AS44+AT44))</f>
        <v>0</v>
      </c>
      <c r="BC44" s="449">
        <f>H44*G44</f>
        <v>0</v>
      </c>
      <c r="BD44" s="449">
        <f>IF('Study Information &amp; rates'!$B$44='Study Information &amp; rates'!$V$12,BC44*0.287,0)</f>
        <v>0</v>
      </c>
      <c r="BE44" s="449">
        <f>IF((Reconciliation!$C$15)&gt;5000,BC44*0.05,0)</f>
        <v>0</v>
      </c>
      <c r="BF44" s="449">
        <f>BC44+BD44+BE44</f>
        <v>0</v>
      </c>
      <c r="BG44" s="183" t="b">
        <f>IF($B44='Look Up'!$A$5,$H44)</f>
        <v>0</v>
      </c>
      <c r="BH44" s="183" t="b">
        <f>IF($B44='Look Up'!$A$6,$H44)</f>
        <v>0</v>
      </c>
      <c r="BI44" s="183" t="b">
        <f>IF($B44='Look Up'!$A$7,$H44)</f>
        <v>0</v>
      </c>
      <c r="BJ44" s="183" t="b">
        <f>IF($B44='Look Up'!$A$7,$H44)</f>
        <v>0</v>
      </c>
      <c r="BL44" s="183">
        <f>IF($B44='[7]Look Up'!$A$6,$C44*$H44,0)+IF($B44='[7]Look Up'!$A$7,$C44*$H44,0)</f>
        <v>0</v>
      </c>
      <c r="BM44" s="183">
        <f>IF($B44='[7]Look Up'!$A$6,$D44*$H44,0)+IF($B44='[7]Look Up'!$A$7,$D44*$H44,0)</f>
        <v>0</v>
      </c>
      <c r="BN44" s="183">
        <f>IF($B44='[7]Look Up'!$A$6,$E44*$H44,0)+IF($B44='[7]Look Up'!$A$7,$E44*$H44,0)</f>
        <v>0</v>
      </c>
      <c r="BO44" s="183">
        <f>IF($B44='[7]Look Up'!$A$6,$F44*$H44,0)+IF($B44='[7]Look Up'!$A$7,$F44*$H44,0)</f>
        <v>0</v>
      </c>
      <c r="BQ44" s="470">
        <f>$C44*'Study Information &amp; rates'!$B$101*IF('Study Information &amp; rates'!$B$44='Study Information &amp; rates'!$V$12,(SUM($H44:$AP44)*1.287),(SUM($H44:$AP44)))</f>
        <v>0</v>
      </c>
      <c r="BR44" s="470">
        <f>$D44*'Study Information &amp; rates'!$C$101*IF('Study Information &amp; rates'!$B$44='Study Information &amp; rates'!$V$12,(SUM($H44:$AP44)*1.287),(SUM($H44:$AP44)))</f>
        <v>0</v>
      </c>
      <c r="BS44" s="470">
        <f>$E44*'Study Information &amp; rates'!$D$101*IF('Study Information &amp; rates'!$B$44='Study Information &amp; rates'!$V$12,(SUM($H44:$AP44)*1.287),(SUM($H44:$AP44)))</f>
        <v>0</v>
      </c>
      <c r="BT44" s="470">
        <f>$F44*'Study Information &amp; rates'!$F$101*IF('Study Information &amp; rates'!$B$44='Study Information &amp; rates'!$V$12,(SUM($H44:$AP44)*1.287),(SUM($H44:$AP44)))</f>
        <v>0</v>
      </c>
      <c r="BU44" s="471">
        <f>AR44+AS44</f>
        <v>0</v>
      </c>
      <c r="BW44" s="183">
        <f>SUM(H44:AP44)</f>
        <v>0</v>
      </c>
    </row>
    <row r="45" spans="1:75" s="450" customFormat="1">
      <c r="A45" s="8"/>
      <c r="B45" s="8"/>
      <c r="C45" s="181"/>
      <c r="D45" s="181"/>
      <c r="E45" s="181"/>
      <c r="F45" s="181"/>
      <c r="G45" s="532">
        <f>IF(ISERROR((C45*'Study Information &amp; rates'!$B$101+D45*'Study Information &amp; rates'!$C$101+E45*'Study Information &amp; rates'!$D$101+F45*'Study Information &amp; rates'!$F$101)),0,(C45*'Study Information &amp; rates'!$B$101+D45*'Study Information &amp; rates'!$C$101+E45*'Study Information &amp; rates'!$D$101+F45*'Study Information &amp; rates'!$F$101))</f>
        <v>0</v>
      </c>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437"/>
      <c r="AR45" s="440">
        <f>(SUM(H45:AP45))*G45</f>
        <v>0</v>
      </c>
      <c r="AS45" s="440">
        <f>IF('Study Information &amp; rates'!$B$44="Yes",AR45*0.287,0)</f>
        <v>0</v>
      </c>
      <c r="AT45" s="440">
        <f>IF('Study Information &amp; rates'!$B$44="No",0,AR45*0.05)</f>
        <v>0</v>
      </c>
      <c r="AU45" s="440">
        <f>IF('Study Information &amp; rates'!$B$45="No",AR45+AS45+AT45,'Set-up and other costs'!$B$18*(AR45+AS45+AT45))</f>
        <v>0</v>
      </c>
      <c r="AV45" s="183"/>
      <c r="BC45" s="449">
        <f>H45*G45</f>
        <v>0</v>
      </c>
      <c r="BD45" s="449">
        <f>IF('Study Information &amp; rates'!$B$44='Study Information &amp; rates'!$V$12,BC45*0.287,0)</f>
        <v>0</v>
      </c>
      <c r="BE45" s="449">
        <f>IF((Reconciliation!$C$15)&gt;5000,BC45*0.05,0)</f>
        <v>0</v>
      </c>
      <c r="BF45" s="449">
        <f>BC45+BD45+BE45</f>
        <v>0</v>
      </c>
      <c r="BG45" s="183" t="b">
        <f>IF($B45='Look Up'!$A$5,$H45)</f>
        <v>0</v>
      </c>
      <c r="BH45" s="183" t="b">
        <f>IF($B45='Look Up'!$A$6,$H45)</f>
        <v>0</v>
      </c>
      <c r="BI45" s="183" t="b">
        <f>IF($B45='Look Up'!$A$7,$H45)</f>
        <v>0</v>
      </c>
      <c r="BJ45" s="183" t="b">
        <f>IF($B45='Look Up'!$A$7,$H45)</f>
        <v>0</v>
      </c>
      <c r="BL45" s="450">
        <f>IF($B45='[7]Look Up'!$A$6,$C45*$H45,0)+IF($B45='[7]Look Up'!$A$7,$C45*$H45,0)</f>
        <v>0</v>
      </c>
      <c r="BM45" s="450">
        <f>IF($B45='[7]Look Up'!$A$6,$D45*$H45,0)+IF($B45='[7]Look Up'!$A$7,$D45*$H45,0)</f>
        <v>0</v>
      </c>
      <c r="BN45" s="450">
        <f>IF($B45='[7]Look Up'!$A$6,$E45*$H45,0)+IF($B45='[7]Look Up'!$A$7,$E45*$H45,0)</f>
        <v>0</v>
      </c>
      <c r="BO45" s="450">
        <f>IF($B45='[7]Look Up'!$A$6,$F45*$H45,0)+IF($B45='[7]Look Up'!$A$7,$F45*$H45,0)</f>
        <v>0</v>
      </c>
      <c r="BQ45" s="470">
        <f>$C45*'Study Information &amp; rates'!$B$101*IF('Study Information &amp; rates'!$B$44='Study Information &amp; rates'!$V$12,(SUM($H45:$AP45)*1.287),(SUM($H45:$AP45)))</f>
        <v>0</v>
      </c>
      <c r="BR45" s="470">
        <f>$D45*'Study Information &amp; rates'!$C$101*IF('Study Information &amp; rates'!$B$44='Study Information &amp; rates'!$V$12,(SUM($H45:$AP45)*1.287),(SUM($H45:$AP45)))</f>
        <v>0</v>
      </c>
      <c r="BS45" s="470">
        <f>$E45*'Study Information &amp; rates'!$D$101*IF('Study Information &amp; rates'!$B$44='Study Information &amp; rates'!$V$12,(SUM($H45:$AP45)*1.287),(SUM($H45:$AP45)))</f>
        <v>0</v>
      </c>
      <c r="BT45" s="470">
        <f>$F45*'Study Information &amp; rates'!$F$101*IF('Study Information &amp; rates'!$B$44='Study Information &amp; rates'!$V$12,(SUM($H45:$AP45)*1.287),(SUM($H45:$AP45)))</f>
        <v>0</v>
      </c>
      <c r="BU45" s="471">
        <f>AR45+AS45</f>
        <v>0</v>
      </c>
      <c r="BW45" s="183">
        <f>SUM(H45:AP45)</f>
        <v>0</v>
      </c>
    </row>
    <row r="46" spans="1:73">
      <c r="A46" s="188"/>
      <c r="B46" s="188"/>
      <c r="C46" s="447"/>
      <c r="D46" s="447"/>
      <c r="E46" s="447"/>
      <c r="F46" s="447"/>
      <c r="G46" s="507"/>
      <c r="H46" s="508">
        <f>SUM(H7:H45)</f>
        <v>0</v>
      </c>
      <c r="I46" s="508">
        <f>SUM(I7:I45)</f>
        <v>0</v>
      </c>
      <c r="J46" s="508">
        <f>SUM(J7:J45)</f>
        <v>0</v>
      </c>
      <c r="K46" s="508">
        <f>SUM(K7:K45)</f>
        <v>0</v>
      </c>
      <c r="L46" s="508">
        <f>SUM(L7:L45)</f>
        <v>0</v>
      </c>
      <c r="M46" s="508">
        <f>SUM(M7:M45)</f>
        <v>0</v>
      </c>
      <c r="N46" s="508">
        <f>SUM(N7:N45)</f>
        <v>0</v>
      </c>
      <c r="O46" s="508">
        <f>SUM(O7:O45)</f>
        <v>0</v>
      </c>
      <c r="P46" s="508">
        <f>SUM(P7:P45)</f>
        <v>0</v>
      </c>
      <c r="Q46" s="508">
        <f>SUM(Q7:Q45)</f>
        <v>0</v>
      </c>
      <c r="R46" s="508">
        <f>SUM(R7:R45)</f>
        <v>0</v>
      </c>
      <c r="S46" s="508">
        <f>SUM(S7:S45)</f>
        <v>0</v>
      </c>
      <c r="T46" s="508">
        <f>SUM(T7:T45)</f>
        <v>0</v>
      </c>
      <c r="U46" s="508">
        <f>SUM(U7:U45)</f>
        <v>0</v>
      </c>
      <c r="V46" s="508">
        <f>SUM(V7:V45)</f>
        <v>0</v>
      </c>
      <c r="W46" s="508">
        <f>SUM(W7:W45)</f>
        <v>0</v>
      </c>
      <c r="X46" s="508">
        <f>SUM(X7:X45)</f>
        <v>0</v>
      </c>
      <c r="Y46" s="508">
        <f>SUM(Y7:Y45)</f>
        <v>0</v>
      </c>
      <c r="Z46" s="508">
        <f>SUM(Z7:Z45)</f>
        <v>0</v>
      </c>
      <c r="AA46" s="508">
        <f>SUM(AA7:AA45)</f>
        <v>0</v>
      </c>
      <c r="AB46" s="508">
        <f>SUM(AB7:AB45)</f>
        <v>0</v>
      </c>
      <c r="AC46" s="508">
        <f>SUM(AC7:AC45)</f>
        <v>0</v>
      </c>
      <c r="AD46" s="508">
        <f>SUM(AD7:AD45)</f>
        <v>0</v>
      </c>
      <c r="AE46" s="508">
        <f>SUM(AE7:AE45)</f>
        <v>0</v>
      </c>
      <c r="AF46" s="508">
        <f>SUM(AF7:AF45)</f>
        <v>0</v>
      </c>
      <c r="AG46" s="508">
        <f>SUM(AG7:AG45)</f>
        <v>0</v>
      </c>
      <c r="AH46" s="508">
        <f>SUM(AH7:AH45)</f>
        <v>0</v>
      </c>
      <c r="AI46" s="508">
        <f>SUM(AI7:AI45)</f>
        <v>0</v>
      </c>
      <c r="AJ46" s="508">
        <f>SUM(AJ7:AJ45)</f>
        <v>0</v>
      </c>
      <c r="AK46" s="508">
        <f>SUM(AK7:AK45)</f>
        <v>0</v>
      </c>
      <c r="AL46" s="508">
        <f>SUM(AL7:AL45)</f>
        <v>0</v>
      </c>
      <c r="AM46" s="508">
        <f>SUM(AM7:AM45)</f>
        <v>0</v>
      </c>
      <c r="AN46" s="508">
        <f>SUM(AN7:AN45)</f>
        <v>0</v>
      </c>
      <c r="AO46" s="508">
        <f>SUM(AO7:AO45)</f>
        <v>0</v>
      </c>
      <c r="AP46" s="508">
        <f>SUM(AP7:AP45)</f>
        <v>0</v>
      </c>
      <c r="AQ46" s="423"/>
      <c r="AR46" s="509">
        <f>SUM(AR7:AR45)</f>
        <v>0</v>
      </c>
      <c r="AS46" s="440">
        <f>IF('Study Information &amp; rates'!$B$44="Yes",AR46*0.287,0)</f>
        <v>0</v>
      </c>
      <c r="AT46" s="440">
        <f>IF('Study Information &amp; rates'!$B$44="No",0,AR46*0.05)</f>
        <v>0</v>
      </c>
      <c r="AU46" s="440">
        <f>IF('Study Information &amp; rates'!$B$45="No",AR46+AS46+AT46,'Set-up and other costs'!$B$18*(AR46+AS46+AT46))</f>
        <v>0</v>
      </c>
      <c r="AW46" s="471"/>
      <c r="BQ46" s="470">
        <f>$C46*'Study Information &amp; rates'!$B$101*IF('Study Information &amp; rates'!$B$44='Study Information &amp; rates'!$V$12,(SUM($H46:$AP46)*1.287),(SUM($H46:$AP46)))</f>
        <v>0</v>
      </c>
      <c r="BR46" s="470">
        <f>$D46*'Study Information &amp; rates'!$C$101*IF('Study Information &amp; rates'!$B$44='Study Information &amp; rates'!$V$12,(SUM($H46:$AP46)*1.287),(SUM($H46:$AP46)))</f>
        <v>0</v>
      </c>
      <c r="BS46" s="470">
        <f>$E46*'Study Information &amp; rates'!$D$101*IF('Study Information &amp; rates'!$B$44='Study Information &amp; rates'!$V$12,(SUM($H46:$AP46)*1.287),(SUM($H46:$AP46)))</f>
        <v>0</v>
      </c>
      <c r="BT46" s="470">
        <f>$F46*'Study Information &amp; rates'!$F$101*IF('Study Information &amp; rates'!$B$44='Study Information &amp; rates'!$V$12,(SUM($H46:$AP46)*1.287),(SUM($H46:$AP46)))</f>
        <v>0</v>
      </c>
      <c r="BU46" s="471">
        <f>AR46+AS46</f>
        <v>0</v>
      </c>
    </row>
    <row r="47" spans="1:58" ht="26">
      <c r="A47" s="188"/>
      <c r="B47" s="188"/>
      <c r="C47" s="447"/>
      <c r="D47" s="447"/>
      <c r="E47" s="447"/>
      <c r="F47" s="447"/>
      <c r="G47" s="439" t="s">
        <v>1970</v>
      </c>
      <c r="H47" s="508">
        <f>SUMPRODUCT($C7:$C45,H7:H45)</f>
        <v>0</v>
      </c>
      <c r="I47" s="508">
        <f>SUMPRODUCT($C7:$C45,I7:I45)</f>
        <v>0</v>
      </c>
      <c r="J47" s="508">
        <f>SUMPRODUCT($C7:$C45,J7:J45)</f>
        <v>0</v>
      </c>
      <c r="K47" s="508">
        <f>SUMPRODUCT($C7:$C45,K7:K45)</f>
        <v>0</v>
      </c>
      <c r="L47" s="508">
        <f>SUMPRODUCT($C7:$C45,L7:L45)</f>
        <v>0</v>
      </c>
      <c r="M47" s="508">
        <f>SUMPRODUCT($C7:$C45,M7:M45)</f>
        <v>0</v>
      </c>
      <c r="N47" s="508">
        <f>SUMPRODUCT($C7:$C45,N7:N45)</f>
        <v>0</v>
      </c>
      <c r="O47" s="508">
        <f>SUMPRODUCT($C7:$C45,O7:O45)</f>
        <v>0</v>
      </c>
      <c r="P47" s="508">
        <f>SUMPRODUCT($C7:$C45,P7:P45)</f>
        <v>0</v>
      </c>
      <c r="Q47" s="508">
        <f>SUMPRODUCT($C7:$C45,Q7:Q45)</f>
        <v>0</v>
      </c>
      <c r="R47" s="508">
        <f>SUMPRODUCT($C7:$C45,R7:R45)</f>
        <v>0</v>
      </c>
      <c r="S47" s="508">
        <f>SUMPRODUCT($C7:$C45,S7:S45)</f>
        <v>0</v>
      </c>
      <c r="T47" s="508">
        <f>SUMPRODUCT($C7:$C45,T7:T45)</f>
        <v>0</v>
      </c>
      <c r="U47" s="508">
        <f>SUMPRODUCT($C7:$C45,U7:U45)</f>
        <v>0</v>
      </c>
      <c r="V47" s="508">
        <f>SUMPRODUCT($C7:$C45,V7:V45)</f>
        <v>0</v>
      </c>
      <c r="W47" s="508">
        <f>SUMPRODUCT($C7:$C45,W7:W45)</f>
        <v>0</v>
      </c>
      <c r="X47" s="508">
        <f>SUMPRODUCT($C7:$C45,X7:X45)</f>
        <v>0</v>
      </c>
      <c r="Y47" s="508">
        <f>SUMPRODUCT($C7:$C45,Y7:Y45)</f>
        <v>0</v>
      </c>
      <c r="Z47" s="508">
        <f>SUMPRODUCT($C7:$C45,Z7:Z45)</f>
        <v>0</v>
      </c>
      <c r="AA47" s="508">
        <f>SUMPRODUCT($C7:$C45,AA7:AA45)</f>
        <v>0</v>
      </c>
      <c r="AB47" s="508">
        <f>SUMPRODUCT($C7:$C45,AB7:AB45)</f>
        <v>0</v>
      </c>
      <c r="AC47" s="508">
        <f>SUMPRODUCT($C7:$C45,AC7:AC45)</f>
        <v>0</v>
      </c>
      <c r="AD47" s="508">
        <f>SUMPRODUCT($C7:$C45,AD7:AD45)</f>
        <v>0</v>
      </c>
      <c r="AE47" s="508">
        <f>SUMPRODUCT($C7:$C45,AE7:AE45)</f>
        <v>0</v>
      </c>
      <c r="AF47" s="508">
        <f>SUMPRODUCT($C7:$C45,AF7:AF45)</f>
        <v>0</v>
      </c>
      <c r="AG47" s="508">
        <f>SUMPRODUCT($C7:$C45,AG7:AG45)</f>
        <v>0</v>
      </c>
      <c r="AH47" s="508">
        <f>SUMPRODUCT($C7:$C45,AH7:AH45)</f>
        <v>0</v>
      </c>
      <c r="AI47" s="508">
        <f>SUMPRODUCT($C7:$C45,AI7:AI45)</f>
        <v>0</v>
      </c>
      <c r="AJ47" s="508">
        <f>SUMPRODUCT($C7:$C45,AJ7:AJ45)</f>
        <v>0</v>
      </c>
      <c r="AK47" s="508">
        <f>SUMPRODUCT($C7:$C45,AK7:AK45)</f>
        <v>0</v>
      </c>
      <c r="AL47" s="508">
        <f>SUMPRODUCT($C7:$C45,AL7:AL45)</f>
        <v>0</v>
      </c>
      <c r="AM47" s="508">
        <f>SUMPRODUCT($C7:$C45,AM7:AM45)</f>
        <v>0</v>
      </c>
      <c r="AN47" s="508">
        <f>SUMPRODUCT($C7:$C45,AN7:AN45)</f>
        <v>0</v>
      </c>
      <c r="AO47" s="508">
        <f>SUMPRODUCT($C7:$C45,AO7:AO45)</f>
        <v>0</v>
      </c>
      <c r="AP47" s="508">
        <f>SUMPRODUCT($C7:$C45,AP7:AP45)</f>
        <v>0</v>
      </c>
      <c r="AQ47" s="429"/>
      <c r="AR47" s="440">
        <f>SUM(H47:AP47)*'Study Information &amp; rates'!B101</f>
        <v>0</v>
      </c>
      <c r="AS47" s="440">
        <f>IF('Study Information &amp; rates'!$B$44="Yes",AR47*0.287,0)</f>
        <v>0</v>
      </c>
      <c r="AT47" s="440">
        <f>IF('Study Information &amp; rates'!$B$44="No",0,AR47*0.05)</f>
        <v>0</v>
      </c>
      <c r="AU47" s="440">
        <f>IF('Study Information &amp; rates'!$B$45="No",AR47+AS47+AT47,'Set-up and other costs'!$B$18*(AR47+AS47+AT47))</f>
        <v>0</v>
      </c>
      <c r="BB47" s="469">
        <f>SUMIF($BH:$BH,1,$C:$C)+SUMIF($BJ:$BJ,1,$C:$C)</f>
        <v>0</v>
      </c>
      <c r="BC47" s="468">
        <f>BB47*'Study Information &amp; rates'!$B$101</f>
        <v>0</v>
      </c>
      <c r="BD47" s="449">
        <f>IF('Study Information &amp; rates'!$B$44='Study Information &amp; rates'!$V$12,BC47*0.287,0)</f>
        <v>0</v>
      </c>
      <c r="BE47" s="449">
        <f>IF(($AR$51*'Study Information &amp; rates'!$B$27)&gt;5000,BC47*0.05,0)</f>
        <v>0</v>
      </c>
      <c r="BF47" s="449">
        <f>BC47+BD47+BE47</f>
        <v>0</v>
      </c>
    </row>
    <row r="48" spans="1:72" ht="26">
      <c r="A48" s="188"/>
      <c r="B48" s="188"/>
      <c r="C48" s="447"/>
      <c r="D48" s="447"/>
      <c r="E48" s="447"/>
      <c r="F48" s="447"/>
      <c r="G48" s="439" t="s">
        <v>1971</v>
      </c>
      <c r="H48" s="508">
        <f>SUMPRODUCT($D7:$D45,H7:H45)</f>
        <v>0</v>
      </c>
      <c r="I48" s="508">
        <f>SUMPRODUCT($D7:$D45,I7:I45)</f>
        <v>0</v>
      </c>
      <c r="J48" s="508">
        <f>SUMPRODUCT($D7:$D45,J7:J45)</f>
        <v>0</v>
      </c>
      <c r="K48" s="508">
        <f>SUMPRODUCT($D7:$D45,K7:K45)</f>
        <v>0</v>
      </c>
      <c r="L48" s="508">
        <f>SUMPRODUCT($D7:$D45,L7:L45)</f>
        <v>0</v>
      </c>
      <c r="M48" s="508">
        <f>SUMPRODUCT($D7:$D45,M7:M45)</f>
        <v>0</v>
      </c>
      <c r="N48" s="508">
        <f>SUMPRODUCT($D7:$D45,N7:N45)</f>
        <v>0</v>
      </c>
      <c r="O48" s="508">
        <f>SUMPRODUCT($D7:$D45,O7:O45)</f>
        <v>0</v>
      </c>
      <c r="P48" s="508">
        <f>SUMPRODUCT($D7:$D45,P7:P45)</f>
        <v>0</v>
      </c>
      <c r="Q48" s="508">
        <f>SUMPRODUCT($D7:$D45,Q7:Q45)</f>
        <v>0</v>
      </c>
      <c r="R48" s="508">
        <f>SUMPRODUCT($D7:$D45,R7:R45)</f>
        <v>0</v>
      </c>
      <c r="S48" s="508">
        <f>SUMPRODUCT($D7:$D45,S7:S45)</f>
        <v>0</v>
      </c>
      <c r="T48" s="508">
        <f>SUMPRODUCT($D7:$D45,T7:T45)</f>
        <v>0</v>
      </c>
      <c r="U48" s="508">
        <f>SUMPRODUCT($D7:$D45,U7:U45)</f>
        <v>0</v>
      </c>
      <c r="V48" s="508">
        <f>SUMPRODUCT($D7:$D45,V7:V45)</f>
        <v>0</v>
      </c>
      <c r="W48" s="508">
        <f>SUMPRODUCT($D7:$D45,W7:W45)</f>
        <v>0</v>
      </c>
      <c r="X48" s="508">
        <f>SUMPRODUCT($D7:$D45,X7:X45)</f>
        <v>0</v>
      </c>
      <c r="Y48" s="508">
        <f>SUMPRODUCT($D7:$D45,Y7:Y45)</f>
        <v>0</v>
      </c>
      <c r="Z48" s="508">
        <f>SUMPRODUCT($D7:$D45,Z7:Z45)</f>
        <v>0</v>
      </c>
      <c r="AA48" s="508">
        <f>SUMPRODUCT($D7:$D45,AA7:AA45)</f>
        <v>0</v>
      </c>
      <c r="AB48" s="508">
        <f>SUMPRODUCT($D7:$D45,AB7:AB45)</f>
        <v>0</v>
      </c>
      <c r="AC48" s="508">
        <f>SUMPRODUCT($D7:$D45,AC7:AC45)</f>
        <v>0</v>
      </c>
      <c r="AD48" s="508">
        <f>SUMPRODUCT($D7:$D45,AD7:AD45)</f>
        <v>0</v>
      </c>
      <c r="AE48" s="508">
        <f>SUMPRODUCT($D7:$D45,AE7:AE45)</f>
        <v>0</v>
      </c>
      <c r="AF48" s="508">
        <f>SUMPRODUCT($D7:$D45,AF7:AF45)</f>
        <v>0</v>
      </c>
      <c r="AG48" s="508">
        <f>SUMPRODUCT($D7:$D45,AG7:AG45)</f>
        <v>0</v>
      </c>
      <c r="AH48" s="508">
        <f>SUMPRODUCT($D7:$D45,AH7:AH45)</f>
        <v>0</v>
      </c>
      <c r="AI48" s="508">
        <f>SUMPRODUCT($D7:$D45,AI7:AI45)</f>
        <v>0</v>
      </c>
      <c r="AJ48" s="508">
        <f>SUMPRODUCT($D7:$D45,AJ7:AJ45)</f>
        <v>0</v>
      </c>
      <c r="AK48" s="508">
        <f>SUMPRODUCT($D7:$D45,AK7:AK45)</f>
        <v>0</v>
      </c>
      <c r="AL48" s="508">
        <f>SUMPRODUCT($D7:$D45,AL7:AL45)</f>
        <v>0</v>
      </c>
      <c r="AM48" s="508">
        <f>SUMPRODUCT($D7:$D45,AM7:AM45)</f>
        <v>0</v>
      </c>
      <c r="AN48" s="508">
        <f>SUMPRODUCT($D7:$D45,AN7:AN45)</f>
        <v>0</v>
      </c>
      <c r="AO48" s="508">
        <f>SUMPRODUCT($D7:$D45,AO7:AO45)</f>
        <v>0</v>
      </c>
      <c r="AP48" s="508">
        <f>SUMPRODUCT($D7:$D45,AP7:AP45)</f>
        <v>0</v>
      </c>
      <c r="AQ48" s="429"/>
      <c r="AR48" s="440">
        <f>SUM(H48:AP48)*'Study Information &amp; rates'!C101</f>
        <v>0</v>
      </c>
      <c r="AS48" s="440">
        <f>IF('Study Information &amp; rates'!$B$44="Yes",AR48*0.287,0)</f>
        <v>0</v>
      </c>
      <c r="AT48" s="440">
        <f>IF('Study Information &amp; rates'!$B$44="No",0,AR48*0.05)</f>
        <v>0</v>
      </c>
      <c r="AU48" s="440">
        <f>IF('Study Information &amp; rates'!$B$45="No",AR48+AS48+AT48,'Set-up and other costs'!$B$18*(AR48+AS48+AT48))</f>
        <v>0</v>
      </c>
      <c r="BB48" s="469">
        <f>SUMIF($BH:$BH,1,$D:$D)+SUMIF($BJ:$BJ,1,$D:$D)</f>
        <v>0</v>
      </c>
      <c r="BC48" s="468">
        <f>BB48*'Study Information &amp; rates'!$C$101</f>
        <v>0</v>
      </c>
      <c r="BD48" s="449">
        <f>IF('Study Information &amp; rates'!$B$44='Study Information &amp; rates'!$V$12,BC48*0.287,0)</f>
        <v>0</v>
      </c>
      <c r="BE48" s="449">
        <f>IF(($AR$51*'Study Information &amp; rates'!$B$27)&gt;5000,BC48*0.05,0)</f>
        <v>0</v>
      </c>
      <c r="BF48" s="449">
        <f>BC48+BD48+BE48</f>
        <v>0</v>
      </c>
      <c r="BQ48" s="183">
        <f>SUM(BQ7:BQ47)</f>
        <v>0</v>
      </c>
      <c r="BR48" s="183">
        <f>SUM(BR7:BR47)</f>
        <v>0</v>
      </c>
      <c r="BS48" s="183">
        <f>SUM(BS7:BS47)</f>
        <v>0</v>
      </c>
      <c r="BT48" s="183">
        <f>SUM(BT7:BT47)</f>
        <v>0</v>
      </c>
    </row>
    <row r="49" spans="1:69" ht="26">
      <c r="A49" s="188"/>
      <c r="B49" s="188"/>
      <c r="C49" s="447"/>
      <c r="D49" s="447"/>
      <c r="E49" s="447"/>
      <c r="F49" s="447"/>
      <c r="G49" s="439" t="s">
        <v>32</v>
      </c>
      <c r="H49" s="508">
        <f>SUMPRODUCT($E$7:$E45,H7:H45)</f>
        <v>0</v>
      </c>
      <c r="I49" s="508">
        <f>SUMPRODUCT($E$7:$E45,I7:I45)</f>
        <v>0</v>
      </c>
      <c r="J49" s="508">
        <f>SUMPRODUCT($E$7:$E45,J7:J45)</f>
        <v>0</v>
      </c>
      <c r="K49" s="508">
        <f>SUMPRODUCT($E$7:$E45,K7:K45)</f>
        <v>0</v>
      </c>
      <c r="L49" s="508">
        <f>SUMPRODUCT($E$7:$E45,L7:L45)</f>
        <v>0</v>
      </c>
      <c r="M49" s="508">
        <f>SUMPRODUCT($E$7:$E45,M7:M45)</f>
        <v>0</v>
      </c>
      <c r="N49" s="508">
        <f>SUMPRODUCT($E$7:$E45,N7:N45)</f>
        <v>0</v>
      </c>
      <c r="O49" s="508">
        <f>SUMPRODUCT($E$7:$E45,O7:O45)</f>
        <v>0</v>
      </c>
      <c r="P49" s="508">
        <f>SUMPRODUCT($E$7:$E45,P7:P45)</f>
        <v>0</v>
      </c>
      <c r="Q49" s="508">
        <f>SUMPRODUCT($E$7:$E45,Q7:Q45)</f>
        <v>0</v>
      </c>
      <c r="R49" s="508">
        <f>SUMPRODUCT($E$7:$E45,R7:R45)</f>
        <v>0</v>
      </c>
      <c r="S49" s="508">
        <f>SUMPRODUCT($E$7:$E45,S7:S45)</f>
        <v>0</v>
      </c>
      <c r="T49" s="508">
        <f>SUMPRODUCT($E$7:$E45,T7:T45)</f>
        <v>0</v>
      </c>
      <c r="U49" s="508">
        <f>SUMPRODUCT($E$7:$E45,U7:U45)</f>
        <v>0</v>
      </c>
      <c r="V49" s="508">
        <f>SUMPRODUCT($E$7:$E45,V7:V45)</f>
        <v>0</v>
      </c>
      <c r="W49" s="508">
        <f>SUMPRODUCT($E$7:$E45,W7:W45)</f>
        <v>0</v>
      </c>
      <c r="X49" s="508">
        <f>SUMPRODUCT($E$7:$E45,X7:X45)</f>
        <v>0</v>
      </c>
      <c r="Y49" s="508">
        <f>SUMPRODUCT($E$7:$E45,Y7:Y45)</f>
        <v>0</v>
      </c>
      <c r="Z49" s="508">
        <f>SUMPRODUCT($E$7:$E45,Z7:Z45)</f>
        <v>0</v>
      </c>
      <c r="AA49" s="508">
        <f>SUMPRODUCT($E$7:$E45,AA7:AA45)</f>
        <v>0</v>
      </c>
      <c r="AB49" s="508">
        <f>SUMPRODUCT($E$7:$E45,AB7:AB45)</f>
        <v>0</v>
      </c>
      <c r="AC49" s="508">
        <f>SUMPRODUCT($E$7:$E45,AC7:AC45)</f>
        <v>0</v>
      </c>
      <c r="AD49" s="508">
        <f>SUMPRODUCT($E$7:$E45,AD7:AD45)</f>
        <v>0</v>
      </c>
      <c r="AE49" s="508">
        <f>SUMPRODUCT($E$7:$E45,AE7:AE45)</f>
        <v>0</v>
      </c>
      <c r="AF49" s="508">
        <f>SUMPRODUCT($E$7:$E45,AF7:AF45)</f>
        <v>0</v>
      </c>
      <c r="AG49" s="508">
        <f>SUMPRODUCT($E$7:$E45,AG7:AG45)</f>
        <v>0</v>
      </c>
      <c r="AH49" s="508">
        <f>SUMPRODUCT($E$7:$E45,AH7:AH45)</f>
        <v>0</v>
      </c>
      <c r="AI49" s="508">
        <f>SUMPRODUCT($E$7:$E45,AI7:AI45)</f>
        <v>0</v>
      </c>
      <c r="AJ49" s="508">
        <f>SUMPRODUCT($E$7:$E45,AJ7:AJ45)</f>
        <v>0</v>
      </c>
      <c r="AK49" s="508">
        <f>SUMPRODUCT($E$7:$E45,AK7:AK45)</f>
        <v>0</v>
      </c>
      <c r="AL49" s="508">
        <f>SUMPRODUCT($E$7:$E45,AL7:AL45)</f>
        <v>0</v>
      </c>
      <c r="AM49" s="508">
        <f>SUMPRODUCT($E$7:$E45,AM7:AM45)</f>
        <v>0</v>
      </c>
      <c r="AN49" s="508">
        <f>SUMPRODUCT($E$7:$E45,AN7:AN45)</f>
        <v>0</v>
      </c>
      <c r="AO49" s="508">
        <f>SUMPRODUCT($E$7:$E45,AO7:AO45)</f>
        <v>0</v>
      </c>
      <c r="AP49" s="508">
        <f>SUMPRODUCT($E$7:$E45,AP7:AP45)</f>
        <v>0</v>
      </c>
      <c r="AQ49" s="429"/>
      <c r="AR49" s="440">
        <f>SUM(H49:AP49)*'Study Information &amp; rates'!D101</f>
        <v>0</v>
      </c>
      <c r="AS49" s="440">
        <f>IF('Study Information &amp; rates'!$B$44="Yes",AR49*0.287,0)</f>
        <v>0</v>
      </c>
      <c r="AT49" s="440">
        <f>IF('Study Information &amp; rates'!$B$44="No",0,AR49*0.05)</f>
        <v>0</v>
      </c>
      <c r="AU49" s="440">
        <f>IF('Study Information &amp; rates'!$B$45="No",AR49+AS49+AT49,'Set-up and other costs'!$B$18*(AR49+AS49+AT49))</f>
        <v>0</v>
      </c>
      <c r="BB49" s="469">
        <f>SUMIF($BH:$BH,1,$E:$E)+SUMIF($BJ:$BJ,1,$E:$E)</f>
        <v>0</v>
      </c>
      <c r="BC49" s="468">
        <f>BB49*'Study Information &amp; rates'!$D$101</f>
        <v>0</v>
      </c>
      <c r="BD49" s="449">
        <f>IF('Study Information &amp; rates'!$B$44='Study Information &amp; rates'!$V$12,BC49*0.287,0)</f>
        <v>0</v>
      </c>
      <c r="BE49" s="449">
        <f>IF(($AR$51*'Study Information &amp; rates'!$B$27)&gt;5000,BC49*0.05,0)</f>
        <v>0</v>
      </c>
      <c r="BF49" s="449">
        <f>BC49+BD49+BE49</f>
        <v>0</v>
      </c>
      <c r="BQ49" s="183">
        <f>SUM(BQ48:BT48)</f>
        <v>0</v>
      </c>
    </row>
    <row r="50" spans="1:69" ht="26">
      <c r="A50" s="188"/>
      <c r="B50" s="188"/>
      <c r="C50" s="447"/>
      <c r="D50" s="447"/>
      <c r="E50" s="447"/>
      <c r="F50" s="447"/>
      <c r="G50" s="439" t="s">
        <v>46</v>
      </c>
      <c r="H50" s="508">
        <f>SUMPRODUCT($F$7:$F45,H7:H45)</f>
        <v>0</v>
      </c>
      <c r="I50" s="508">
        <f>SUMPRODUCT($F$7:$F45,I7:I45)</f>
        <v>0</v>
      </c>
      <c r="J50" s="508">
        <f>SUMPRODUCT($F$7:$F45,J7:J45)</f>
        <v>0</v>
      </c>
      <c r="K50" s="508">
        <f>SUMPRODUCT($F$7:$F45,K7:K45)</f>
        <v>0</v>
      </c>
      <c r="L50" s="508">
        <f>SUMPRODUCT($F$7:$F45,L7:L45)</f>
        <v>0</v>
      </c>
      <c r="M50" s="508">
        <f>SUMPRODUCT($F$7:$F45,M7:M45)</f>
        <v>0</v>
      </c>
      <c r="N50" s="508">
        <f>SUMPRODUCT($F$7:$F45,N7:N45)</f>
        <v>0</v>
      </c>
      <c r="O50" s="508">
        <f>SUMPRODUCT($F$7:$F45,O7:O45)</f>
        <v>0</v>
      </c>
      <c r="P50" s="508">
        <f>SUMPRODUCT($F$7:$F45,P7:P45)</f>
        <v>0</v>
      </c>
      <c r="Q50" s="508">
        <f>SUMPRODUCT($F$7:$F45,Q7:Q45)</f>
        <v>0</v>
      </c>
      <c r="R50" s="508">
        <f>SUMPRODUCT($F$7:$F45,R7:R45)</f>
        <v>0</v>
      </c>
      <c r="S50" s="508">
        <f>SUMPRODUCT($F$7:$F45,S7:S45)</f>
        <v>0</v>
      </c>
      <c r="T50" s="508">
        <f>SUMPRODUCT($F$7:$F45,T7:T45)</f>
        <v>0</v>
      </c>
      <c r="U50" s="508">
        <f>SUMPRODUCT($F$7:$F45,U7:U45)</f>
        <v>0</v>
      </c>
      <c r="V50" s="508">
        <f>SUMPRODUCT($F$7:$F45,V7:V45)</f>
        <v>0</v>
      </c>
      <c r="W50" s="508">
        <f>SUMPRODUCT($F$7:$F45,W7:W45)</f>
        <v>0</v>
      </c>
      <c r="X50" s="508">
        <f>SUMPRODUCT($F$7:$F45,X7:X45)</f>
        <v>0</v>
      </c>
      <c r="Y50" s="508">
        <f>SUMPRODUCT($F$7:$F45,Y7:Y45)</f>
        <v>0</v>
      </c>
      <c r="Z50" s="508">
        <f>SUMPRODUCT($F$7:$F45,Z7:Z45)</f>
        <v>0</v>
      </c>
      <c r="AA50" s="508">
        <f>SUMPRODUCT($F$7:$F45,AA7:AA45)</f>
        <v>0</v>
      </c>
      <c r="AB50" s="508">
        <f>SUMPRODUCT($F$7:$F45,AB7:AB45)</f>
        <v>0</v>
      </c>
      <c r="AC50" s="508">
        <f>SUMPRODUCT($F$7:$F45,AC7:AC45)</f>
        <v>0</v>
      </c>
      <c r="AD50" s="508">
        <f>SUMPRODUCT($F$7:$F45,AD7:AD45)</f>
        <v>0</v>
      </c>
      <c r="AE50" s="508">
        <f>SUMPRODUCT($F$7:$F45,AE7:AE45)</f>
        <v>0</v>
      </c>
      <c r="AF50" s="508">
        <f>SUMPRODUCT($F$7:$F45,AF7:AF45)</f>
        <v>0</v>
      </c>
      <c r="AG50" s="508">
        <f>SUMPRODUCT($F$7:$F45,AG7:AG45)</f>
        <v>0</v>
      </c>
      <c r="AH50" s="508">
        <f>SUMPRODUCT($F$7:$F45,AH7:AH45)</f>
        <v>0</v>
      </c>
      <c r="AI50" s="508">
        <f>SUMPRODUCT($F$7:$F45,AI7:AI45)</f>
        <v>0</v>
      </c>
      <c r="AJ50" s="508">
        <f>SUMPRODUCT($F$7:$F45,AJ7:AJ45)</f>
        <v>0</v>
      </c>
      <c r="AK50" s="508">
        <f>SUMPRODUCT($F$7:$F45,AK7:AK45)</f>
        <v>0</v>
      </c>
      <c r="AL50" s="508">
        <f>SUMPRODUCT($F$7:$F45,AL7:AL45)</f>
        <v>0</v>
      </c>
      <c r="AM50" s="508">
        <f>SUMPRODUCT($F$7:$F45,AM7:AM45)</f>
        <v>0</v>
      </c>
      <c r="AN50" s="508">
        <f>SUMPRODUCT($F$7:$F45,AN7:AN45)</f>
        <v>0</v>
      </c>
      <c r="AO50" s="508">
        <f>SUMPRODUCT($F$7:$F45,AO7:AO45)</f>
        <v>0</v>
      </c>
      <c r="AP50" s="508">
        <f>SUMPRODUCT($F$7:$F45,AP7:AP45)</f>
        <v>0</v>
      </c>
      <c r="AQ50" s="429"/>
      <c r="AR50" s="440">
        <f>SUM(H50:AP50)*'Study Information &amp; rates'!F101</f>
        <v>0</v>
      </c>
      <c r="AS50" s="440">
        <f>IF('Study Information &amp; rates'!$B$44="Yes",AR50*0.287,0)</f>
        <v>0</v>
      </c>
      <c r="AT50" s="440">
        <f>IF('Study Information &amp; rates'!$B$44="No",0,AR50*0.05)</f>
        <v>0</v>
      </c>
      <c r="AU50" s="440">
        <f>IF('Study Information &amp; rates'!$B$45="No",AR50+AS50+AT50,'Set-up and other costs'!$B$18*(AR50+AS50+AT50))</f>
        <v>0</v>
      </c>
      <c r="AW50" s="450" t="b">
        <f>AR51=AR46</f>
        <v>1</v>
      </c>
      <c r="AX50" s="450" t="b">
        <f>AS51=AS46</f>
        <v>1</v>
      </c>
      <c r="AY50" s="450" t="b">
        <f>AT51=AT46</f>
        <v>1</v>
      </c>
      <c r="AZ50" s="450" t="b">
        <f>AV51=AV46</f>
        <v>1</v>
      </c>
      <c r="BB50" s="469">
        <f>SUMIF($BH:$BH,1,$F:$F)+SUMIF($BJ:$BJ,1,$F:$F)</f>
        <v>0</v>
      </c>
      <c r="BC50" s="468">
        <f>BB50*'Study Information &amp; rates'!$F$101</f>
        <v>0</v>
      </c>
      <c r="BD50" s="449">
        <f>IF('Study Information &amp; rates'!$B$44='Study Information &amp; rates'!$V$12,BC50*0.287,0)</f>
        <v>0</v>
      </c>
      <c r="BE50" s="449">
        <f>IF(($AR$51*'Study Information &amp; rates'!$B$27)&gt;5000,BC50*0.05,0)</f>
        <v>0</v>
      </c>
      <c r="BF50" s="449">
        <f>BC50+BD50+BE50</f>
        <v>0</v>
      </c>
      <c r="BQ50" s="471">
        <f>BQ49+AT46</f>
        <v>0</v>
      </c>
    </row>
    <row r="51" spans="1:69">
      <c r="A51" s="450"/>
      <c r="B51" s="450"/>
      <c r="C51" s="450"/>
      <c r="D51" s="450"/>
      <c r="E51" s="450"/>
      <c r="F51" s="450"/>
      <c r="G51" s="505"/>
      <c r="H51" s="510"/>
      <c r="I51" s="510"/>
      <c r="J51" s="510"/>
      <c r="K51" s="510"/>
      <c r="L51" s="510"/>
      <c r="M51" s="510"/>
      <c r="N51" s="510"/>
      <c r="O51" s="510"/>
      <c r="P51" s="510"/>
      <c r="Q51" s="510"/>
      <c r="R51" s="510"/>
      <c r="S51" s="510"/>
      <c r="T51" s="510"/>
      <c r="U51" s="510"/>
      <c r="V51" s="510"/>
      <c r="W51" s="510"/>
      <c r="X51" s="510"/>
      <c r="Y51" s="510"/>
      <c r="Z51" s="510"/>
      <c r="AA51" s="510"/>
      <c r="AB51" s="510"/>
      <c r="AC51" s="510"/>
      <c r="AD51" s="510"/>
      <c r="AE51" s="510"/>
      <c r="AF51" s="510"/>
      <c r="AG51" s="510"/>
      <c r="AH51" s="510"/>
      <c r="AI51" s="510"/>
      <c r="AJ51" s="510"/>
      <c r="AK51" s="510"/>
      <c r="AL51" s="510"/>
      <c r="AM51" s="510"/>
      <c r="AN51" s="510"/>
      <c r="AO51" s="510"/>
      <c r="AP51" s="510"/>
      <c r="AQ51" s="510"/>
      <c r="AR51" s="511">
        <f>SUM(AR47:AR50)</f>
        <v>0</v>
      </c>
      <c r="AS51" s="511">
        <f>SUM(AS47:AS50)</f>
        <v>0</v>
      </c>
      <c r="AT51" s="511">
        <f>SUM(AT47:AT50)</f>
        <v>0</v>
      </c>
      <c r="AU51" s="457">
        <f>SUM(AU47:AU50)</f>
        <v>0</v>
      </c>
      <c r="BQ51" s="471"/>
    </row>
    <row r="52" spans="1:47" ht="15.5">
      <c r="A52" s="464" t="s">
        <v>22</v>
      </c>
      <c r="B52" s="464"/>
      <c r="C52" s="450"/>
      <c r="D52" s="450"/>
      <c r="E52" s="450"/>
      <c r="F52" s="450"/>
      <c r="G52" s="505"/>
      <c r="H52" s="510"/>
      <c r="I52" s="510"/>
      <c r="J52" s="510"/>
      <c r="K52" s="510"/>
      <c r="L52" s="510"/>
      <c r="M52" s="510"/>
      <c r="N52" s="510"/>
      <c r="O52" s="510"/>
      <c r="P52" s="510"/>
      <c r="Q52" s="510"/>
      <c r="R52" s="510"/>
      <c r="S52" s="510"/>
      <c r="T52" s="510"/>
      <c r="U52" s="510"/>
      <c r="V52" s="510"/>
      <c r="W52" s="510"/>
      <c r="X52" s="510"/>
      <c r="Y52" s="510"/>
      <c r="Z52" s="510"/>
      <c r="AA52" s="510"/>
      <c r="AB52" s="510"/>
      <c r="AC52" s="510"/>
      <c r="AD52" s="510"/>
      <c r="AE52" s="510"/>
      <c r="AF52" s="510"/>
      <c r="AG52" s="510"/>
      <c r="AH52" s="510"/>
      <c r="AI52" s="510"/>
      <c r="AJ52" s="510"/>
      <c r="AK52" s="510"/>
      <c r="AL52" s="510"/>
      <c r="AM52" s="510"/>
      <c r="AN52" s="510"/>
      <c r="AO52" s="510"/>
      <c r="AP52" s="510"/>
      <c r="AQ52" s="510"/>
      <c r="AR52" s="511">
        <f>AR51-AR46</f>
        <v>0</v>
      </c>
      <c r="AS52" s="511">
        <f>AS51-AS46</f>
        <v>0</v>
      </c>
      <c r="AT52" s="511">
        <f>AT51-AT46</f>
        <v>0</v>
      </c>
      <c r="AU52" s="511">
        <f>AU51-AU46</f>
        <v>0</v>
      </c>
    </row>
    <row r="53" spans="1:48">
      <c r="A53" s="467"/>
      <c r="B53" s="467"/>
      <c r="AR53" s="510"/>
      <c r="AS53" s="510"/>
      <c r="AT53" s="510"/>
      <c r="AU53" s="510"/>
      <c r="AV53" s="510"/>
    </row>
    <row r="54" spans="1:47" ht="43.5" customHeight="1">
      <c r="A54" s="446" t="s">
        <v>20</v>
      </c>
      <c r="B54" s="430" t="s">
        <v>2059</v>
      </c>
      <c r="C54" s="465" t="s">
        <v>2024</v>
      </c>
      <c r="D54" s="465" t="s">
        <v>2290</v>
      </c>
      <c r="E54" s="465"/>
      <c r="F54" s="445"/>
      <c r="G54" s="446" t="s">
        <v>21</v>
      </c>
      <c r="H54" s="430" t="s">
        <v>58</v>
      </c>
      <c r="I54" s="430" t="s">
        <v>56</v>
      </c>
      <c r="J54" s="430" t="s">
        <v>15</v>
      </c>
      <c r="K54" s="430" t="s">
        <v>16</v>
      </c>
      <c r="L54" s="430" t="s">
        <v>57</v>
      </c>
      <c r="M54" s="430" t="s">
        <v>17</v>
      </c>
      <c r="N54" s="430" t="s">
        <v>18</v>
      </c>
      <c r="O54" s="430" t="s">
        <v>39</v>
      </c>
      <c r="P54" s="430" t="s">
        <v>61</v>
      </c>
      <c r="Q54" s="430" t="s">
        <v>1860</v>
      </c>
      <c r="R54" s="430" t="s">
        <v>1861</v>
      </c>
      <c r="S54" s="430" t="s">
        <v>1862</v>
      </c>
      <c r="T54" s="430" t="s">
        <v>1863</v>
      </c>
      <c r="U54" s="430" t="s">
        <v>1864</v>
      </c>
      <c r="V54" s="430" t="s">
        <v>1865</v>
      </c>
      <c r="W54" s="430" t="s">
        <v>1866</v>
      </c>
      <c r="X54" s="430" t="s">
        <v>1867</v>
      </c>
      <c r="Y54" s="430" t="s">
        <v>1868</v>
      </c>
      <c r="Z54" s="430" t="s">
        <v>1869</v>
      </c>
      <c r="AA54" s="430" t="s">
        <v>1870</v>
      </c>
      <c r="AB54" s="430" t="s">
        <v>1902</v>
      </c>
      <c r="AC54" s="430" t="s">
        <v>1903</v>
      </c>
      <c r="AD54" s="430" t="s">
        <v>1904</v>
      </c>
      <c r="AE54" s="430" t="s">
        <v>1948</v>
      </c>
      <c r="AF54" s="430" t="s">
        <v>1949</v>
      </c>
      <c r="AG54" s="430" t="s">
        <v>1950</v>
      </c>
      <c r="AH54" s="430" t="s">
        <v>1951</v>
      </c>
      <c r="AI54" s="430" t="s">
        <v>1952</v>
      </c>
      <c r="AJ54" s="430" t="s">
        <v>1953</v>
      </c>
      <c r="AK54" s="430" t="s">
        <v>1954</v>
      </c>
      <c r="AL54" s="430" t="s">
        <v>1955</v>
      </c>
      <c r="AM54" s="430" t="s">
        <v>1956</v>
      </c>
      <c r="AN54" s="430" t="s">
        <v>1957</v>
      </c>
      <c r="AO54" s="430" t="s">
        <v>1958</v>
      </c>
      <c r="AP54" s="430" t="s">
        <v>1959</v>
      </c>
      <c r="AQ54" s="451"/>
      <c r="AR54" s="439" t="s">
        <v>3</v>
      </c>
      <c r="AS54" s="430" t="s">
        <v>5</v>
      </c>
      <c r="AT54" s="430" t="s">
        <v>1852</v>
      </c>
      <c r="AU54" s="439" t="s">
        <v>1854</v>
      </c>
    </row>
    <row r="55" spans="1:67" ht="15.75" customHeight="1">
      <c r="A55" s="310"/>
      <c r="B55" s="8"/>
      <c r="C55" s="701"/>
      <c r="D55" s="1056"/>
      <c r="E55" s="1056"/>
      <c r="F55" s="443"/>
      <c r="G55" s="463">
        <v>0</v>
      </c>
      <c r="H55" s="319"/>
      <c r="I55" s="319"/>
      <c r="J55" s="319"/>
      <c r="K55" s="319"/>
      <c r="L55" s="319"/>
      <c r="M55" s="319"/>
      <c r="N55" s="319"/>
      <c r="O55" s="319"/>
      <c r="P55" s="319"/>
      <c r="Q55" s="319"/>
      <c r="R55" s="319"/>
      <c r="S55" s="319"/>
      <c r="T55" s="319"/>
      <c r="U55" s="319"/>
      <c r="V55" s="319"/>
      <c r="W55" s="319"/>
      <c r="X55" s="277"/>
      <c r="Y55" s="277"/>
      <c r="Z55" s="277"/>
      <c r="AA55" s="277"/>
      <c r="AB55" s="277"/>
      <c r="AC55" s="277"/>
      <c r="AD55" s="277"/>
      <c r="AE55" s="277"/>
      <c r="AF55" s="277"/>
      <c r="AG55" s="277"/>
      <c r="AH55" s="277"/>
      <c r="AI55" s="277"/>
      <c r="AJ55" s="277"/>
      <c r="AK55" s="277"/>
      <c r="AL55" s="277"/>
      <c r="AM55" s="277"/>
      <c r="AN55" s="277"/>
      <c r="AO55" s="277"/>
      <c r="AP55" s="277"/>
      <c r="AQ55" s="423"/>
      <c r="AR55" s="440">
        <f>(SUM(H55:AP55))*G55</f>
        <v>0</v>
      </c>
      <c r="AS55" s="440">
        <f>IF('Study Information &amp; rates'!$B$44="Yes",AR55*0.287,0)</f>
        <v>0</v>
      </c>
      <c r="AT55" s="440">
        <f>IF('Study Information &amp; rates'!$B$44="No",0,AR55*0.05)</f>
        <v>0</v>
      </c>
      <c r="AU55" s="440">
        <f>IF('Study Information &amp; rates'!$B$45="No",AR55+AS55+AT55,'Set-up and other costs'!$B$18*(AR55+AS55+AT55))</f>
        <v>0</v>
      </c>
      <c r="BG55" s="183" t="b">
        <f>IF($B55='Look Up'!$A$5,$H55)</f>
        <v>0</v>
      </c>
      <c r="BH55" s="183" t="b">
        <f>IF($B55='Look Up'!$A$6,$H55)</f>
        <v>0</v>
      </c>
      <c r="BI55" s="183" t="b">
        <f>IF($B55='Look Up'!$A$7,$H55)</f>
        <v>0</v>
      </c>
      <c r="BJ55" s="183" t="b">
        <f>IF($B55='Look Up'!$A$7,$H55)</f>
        <v>0</v>
      </c>
      <c r="BO55" s="183" t="str">
        <f>C55&amp;B55</f>
        <v/>
      </c>
    </row>
    <row r="56" spans="1:67">
      <c r="A56" s="310"/>
      <c r="B56" s="8"/>
      <c r="C56" s="444"/>
      <c r="D56" s="1056"/>
      <c r="E56" s="1056"/>
      <c r="F56" s="462"/>
      <c r="G56" s="463">
        <v>0</v>
      </c>
      <c r="H56" s="319"/>
      <c r="I56" s="319"/>
      <c r="J56" s="319"/>
      <c r="K56" s="319"/>
      <c r="L56" s="319"/>
      <c r="M56" s="319"/>
      <c r="N56" s="319"/>
      <c r="O56" s="319"/>
      <c r="P56" s="319"/>
      <c r="Q56" s="319"/>
      <c r="R56" s="319"/>
      <c r="S56" s="319"/>
      <c r="T56" s="319"/>
      <c r="U56" s="319"/>
      <c r="V56" s="319"/>
      <c r="W56" s="319"/>
      <c r="X56" s="302"/>
      <c r="Y56" s="302"/>
      <c r="Z56" s="302"/>
      <c r="AA56" s="302"/>
      <c r="AB56" s="302"/>
      <c r="AC56" s="302"/>
      <c r="AD56" s="302"/>
      <c r="AE56" s="302"/>
      <c r="AF56" s="302"/>
      <c r="AG56" s="302"/>
      <c r="AH56" s="302"/>
      <c r="AI56" s="302"/>
      <c r="AJ56" s="302"/>
      <c r="AK56" s="302"/>
      <c r="AL56" s="302"/>
      <c r="AM56" s="302"/>
      <c r="AN56" s="302"/>
      <c r="AO56" s="302"/>
      <c r="AP56" s="302"/>
      <c r="AQ56" s="425"/>
      <c r="AR56" s="440">
        <f>(SUM(H56:AP56))*G56</f>
        <v>0</v>
      </c>
      <c r="AS56" s="440">
        <f>IF('Study Information &amp; rates'!$B$44="Yes",AR56*0.287,0)</f>
        <v>0</v>
      </c>
      <c r="AT56" s="440">
        <f>IF('Study Information &amp; rates'!$B$44="No",0,AR56*0.05)</f>
        <v>0</v>
      </c>
      <c r="AU56" s="440">
        <f>IF('Study Information &amp; rates'!$B$45="No",AR56+AS56+AT56,'Set-up and other costs'!$B$18*(AR56+AS56+AT56))</f>
        <v>0</v>
      </c>
      <c r="BG56" s="183" t="b">
        <f>IF($B56='Look Up'!$A$5,$H56)</f>
        <v>0</v>
      </c>
      <c r="BH56" s="183" t="b">
        <f>IF($B56='Look Up'!$A$6,$H56)</f>
        <v>0</v>
      </c>
      <c r="BI56" s="183" t="b">
        <f>IF($B56='Look Up'!$A$7,$H56)</f>
        <v>0</v>
      </c>
      <c r="BJ56" s="183" t="b">
        <f>IF($B56='Look Up'!$A$7,$H56)</f>
        <v>0</v>
      </c>
      <c r="BO56" s="183" t="str">
        <f>C56&amp;B56</f>
        <v/>
      </c>
    </row>
    <row r="57" spans="1:67">
      <c r="A57" s="310"/>
      <c r="B57" s="8"/>
      <c r="C57" s="444"/>
      <c r="D57" s="1056"/>
      <c r="E57" s="1056"/>
      <c r="F57" s="462"/>
      <c r="G57" s="463">
        <f>IF(ISERROR(VLOOKUP(A57,'Data Sheet Costs'!$A:$C,3,FALSE)),0,VLOOKUP(A57,'Data Sheet Costs'!$A:$C,3,FALSE))</f>
        <v>0</v>
      </c>
      <c r="H57" s="319"/>
      <c r="I57" s="319"/>
      <c r="J57" s="319"/>
      <c r="K57" s="319"/>
      <c r="L57" s="319"/>
      <c r="M57" s="319"/>
      <c r="N57" s="319"/>
      <c r="O57" s="319"/>
      <c r="P57" s="319"/>
      <c r="Q57" s="319"/>
      <c r="R57" s="319"/>
      <c r="S57" s="319"/>
      <c r="T57" s="319"/>
      <c r="U57" s="319"/>
      <c r="V57" s="319"/>
      <c r="W57" s="319"/>
      <c r="X57" s="302"/>
      <c r="Y57" s="302"/>
      <c r="Z57" s="302"/>
      <c r="AA57" s="302"/>
      <c r="AB57" s="302"/>
      <c r="AC57" s="302"/>
      <c r="AD57" s="302"/>
      <c r="AE57" s="302"/>
      <c r="AF57" s="302"/>
      <c r="AG57" s="302"/>
      <c r="AH57" s="302"/>
      <c r="AI57" s="302"/>
      <c r="AJ57" s="302"/>
      <c r="AK57" s="302"/>
      <c r="AL57" s="302"/>
      <c r="AM57" s="302"/>
      <c r="AN57" s="302"/>
      <c r="AO57" s="302"/>
      <c r="AP57" s="302"/>
      <c r="AQ57" s="425"/>
      <c r="AR57" s="440">
        <f>(SUM(H57:AP57))*G57</f>
        <v>0</v>
      </c>
      <c r="AS57" s="440">
        <f>IF('Study Information &amp; rates'!$B$44="Yes",AR57*0.287,0)</f>
        <v>0</v>
      </c>
      <c r="AT57" s="440">
        <f>IF('Study Information &amp; rates'!$B$44="No",0,AR57*0.05)</f>
        <v>0</v>
      </c>
      <c r="AU57" s="440">
        <f>IF('Study Information &amp; rates'!$B$45="No",AR57+AS57+AT57,'Set-up and other costs'!$B$18*(AR57+AS57+AT57))</f>
        <v>0</v>
      </c>
      <c r="BG57" s="183" t="b">
        <f>IF($B57='Look Up'!$A$5,$H57)</f>
        <v>0</v>
      </c>
      <c r="BH57" s="183" t="b">
        <f>IF($B57='Look Up'!$A$6,$H57)</f>
        <v>0</v>
      </c>
      <c r="BI57" s="183" t="b">
        <f>IF($B57='Look Up'!$A$7,$H57)</f>
        <v>0</v>
      </c>
      <c r="BJ57" s="183" t="b">
        <f>IF($B57='Look Up'!$A$7,$H57)</f>
        <v>0</v>
      </c>
      <c r="BO57" s="183" t="str">
        <f>C57&amp;B57</f>
        <v/>
      </c>
    </row>
    <row r="58" spans="1:67">
      <c r="A58" s="310"/>
      <c r="B58" s="8"/>
      <c r="C58" s="444"/>
      <c r="D58" s="1056"/>
      <c r="E58" s="1056"/>
      <c r="F58" s="462"/>
      <c r="G58" s="463">
        <f>IF(ISERROR(VLOOKUP(A58,'Data Sheet Costs'!$A:$C,3,FALSE)),0,VLOOKUP(A58,'Data Sheet Costs'!$A:$C,3,FALSE))</f>
        <v>0</v>
      </c>
      <c r="H58" s="319"/>
      <c r="I58" s="319"/>
      <c r="J58" s="319"/>
      <c r="K58" s="319"/>
      <c r="L58" s="319"/>
      <c r="M58" s="319"/>
      <c r="N58" s="319"/>
      <c r="O58" s="319"/>
      <c r="P58" s="319"/>
      <c r="Q58" s="319"/>
      <c r="R58" s="319"/>
      <c r="S58" s="319"/>
      <c r="T58" s="319"/>
      <c r="U58" s="319"/>
      <c r="V58" s="319"/>
      <c r="W58" s="319"/>
      <c r="X58" s="302"/>
      <c r="Y58" s="302"/>
      <c r="Z58" s="302"/>
      <c r="AA58" s="302"/>
      <c r="AB58" s="302"/>
      <c r="AC58" s="302"/>
      <c r="AD58" s="302"/>
      <c r="AE58" s="302"/>
      <c r="AF58" s="302"/>
      <c r="AG58" s="302"/>
      <c r="AH58" s="302"/>
      <c r="AI58" s="302"/>
      <c r="AJ58" s="302"/>
      <c r="AK58" s="302"/>
      <c r="AL58" s="302"/>
      <c r="AM58" s="302"/>
      <c r="AN58" s="302"/>
      <c r="AO58" s="302"/>
      <c r="AP58" s="302"/>
      <c r="AQ58" s="425"/>
      <c r="AR58" s="440">
        <f>(SUM(H58:AP58))*G58</f>
        <v>0</v>
      </c>
      <c r="AS58" s="440">
        <f>IF('Study Information &amp; rates'!$B$44="Yes",AR58*0.287,0)</f>
        <v>0</v>
      </c>
      <c r="AT58" s="440">
        <f>IF('Study Information &amp; rates'!$B$44="No",0,AR58*0.05)</f>
        <v>0</v>
      </c>
      <c r="AU58" s="440">
        <f>IF('Study Information &amp; rates'!$B$45="No",AR58+AS58+AT58,'Set-up and other costs'!$B$18*(AR58+AS58+AT58))</f>
        <v>0</v>
      </c>
      <c r="BG58" s="183" t="b">
        <f>IF($B58='Look Up'!$A$5,$H58)</f>
        <v>0</v>
      </c>
      <c r="BH58" s="183" t="b">
        <f>IF($B58='Look Up'!$A$6,$H58)</f>
        <v>0</v>
      </c>
      <c r="BI58" s="183" t="b">
        <f>IF($B58='Look Up'!$A$7,$H58)</f>
        <v>0</v>
      </c>
      <c r="BJ58" s="183" t="b">
        <f>IF($B58='Look Up'!$A$7,$H58)</f>
        <v>0</v>
      </c>
      <c r="BO58" s="183" t="str">
        <f>C58&amp;B58</f>
        <v/>
      </c>
    </row>
    <row r="59" spans="1:67" ht="15.75" customHeight="1">
      <c r="A59" s="310"/>
      <c r="B59" s="8"/>
      <c r="C59" s="444"/>
      <c r="D59" s="1056"/>
      <c r="E59" s="1056"/>
      <c r="F59" s="462"/>
      <c r="G59" s="463">
        <f>IF(ISERROR(VLOOKUP(A59,'Data Sheet Costs'!$A:$C,3,FALSE)),0,VLOOKUP(A59,'Data Sheet Costs'!$A:$C,3,FALSE))</f>
        <v>0</v>
      </c>
      <c r="H59" s="319"/>
      <c r="I59" s="319"/>
      <c r="J59" s="319"/>
      <c r="K59" s="319"/>
      <c r="L59" s="319"/>
      <c r="M59" s="319"/>
      <c r="N59" s="319"/>
      <c r="O59" s="319"/>
      <c r="P59" s="319"/>
      <c r="Q59" s="319"/>
      <c r="R59" s="319"/>
      <c r="S59" s="319"/>
      <c r="T59" s="319"/>
      <c r="U59" s="319"/>
      <c r="V59" s="319"/>
      <c r="W59" s="319"/>
      <c r="X59" s="302"/>
      <c r="Y59" s="302"/>
      <c r="Z59" s="302"/>
      <c r="AA59" s="302"/>
      <c r="AB59" s="302"/>
      <c r="AC59" s="302"/>
      <c r="AD59" s="302"/>
      <c r="AE59" s="302"/>
      <c r="AF59" s="302"/>
      <c r="AG59" s="302"/>
      <c r="AH59" s="302"/>
      <c r="AI59" s="302"/>
      <c r="AJ59" s="302"/>
      <c r="AK59" s="302"/>
      <c r="AL59" s="302"/>
      <c r="AM59" s="302"/>
      <c r="AN59" s="302"/>
      <c r="AO59" s="302"/>
      <c r="AP59" s="302"/>
      <c r="AQ59" s="425"/>
      <c r="AR59" s="440">
        <f>(SUM(H59:AP59))*G59</f>
        <v>0</v>
      </c>
      <c r="AS59" s="440">
        <f>IF('Study Information &amp; rates'!$B$44="Yes",AR59*0.287,0)</f>
        <v>0</v>
      </c>
      <c r="AT59" s="440">
        <f>IF('Study Information &amp; rates'!$B$44="No",0,AR59*0.05)</f>
        <v>0</v>
      </c>
      <c r="AU59" s="440">
        <f>IF('Study Information &amp; rates'!$B$45="No",AR59+AS59+AT59,'Set-up and other costs'!$B$18*(AR59+AS59+AT59))</f>
        <v>0</v>
      </c>
      <c r="BG59" s="183" t="b">
        <f>IF($B59='Look Up'!$A$5,$H59)</f>
        <v>0</v>
      </c>
      <c r="BH59" s="183" t="b">
        <f>IF($B59='Look Up'!$A$6,$H59)</f>
        <v>0</v>
      </c>
      <c r="BI59" s="183" t="b">
        <f>IF($B59='Look Up'!$A$7,$H59)</f>
        <v>0</v>
      </c>
      <c r="BJ59" s="183" t="b">
        <f>IF($B59='Look Up'!$A$7,$H59)</f>
        <v>0</v>
      </c>
      <c r="BO59" s="183" t="str">
        <f>C59&amp;B59</f>
        <v/>
      </c>
    </row>
    <row r="60" spans="1:67">
      <c r="A60" s="301"/>
      <c r="B60" s="8"/>
      <c r="C60" s="444"/>
      <c r="D60" s="1056"/>
      <c r="E60" s="1056"/>
      <c r="F60" s="462"/>
      <c r="G60" s="463">
        <f>IF(ISERROR(VLOOKUP(A60,'Data Sheet Costs'!$A:$C,3,FALSE)),0,VLOOKUP(A60,'Data Sheet Costs'!$A:$C,3,FALSE))</f>
        <v>0</v>
      </c>
      <c r="H60" s="302"/>
      <c r="I60" s="303"/>
      <c r="J60" s="302"/>
      <c r="K60" s="302"/>
      <c r="L60" s="302"/>
      <c r="M60" s="302"/>
      <c r="N60" s="302"/>
      <c r="O60" s="302"/>
      <c r="P60" s="303"/>
      <c r="Q60" s="302"/>
      <c r="R60" s="303"/>
      <c r="S60" s="302"/>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425"/>
      <c r="AR60" s="440">
        <f>(SUM(H60:AP60))*G60</f>
        <v>0</v>
      </c>
      <c r="AS60" s="440">
        <f>IF('Study Information &amp; rates'!$B$44="Yes",AR60*0.287,0)</f>
        <v>0</v>
      </c>
      <c r="AT60" s="440">
        <f>IF('Study Information &amp; rates'!$B$44="No",0,AR60*0.05)</f>
        <v>0</v>
      </c>
      <c r="AU60" s="440">
        <f>IF('Study Information &amp; rates'!$B$45="No",AR60+AS60+AT60,'Set-up and other costs'!$B$18*(AR60+AS60+AT60))</f>
        <v>0</v>
      </c>
      <c r="BG60" s="183" t="b">
        <f>IF($B60='Look Up'!$A$5,$H60)</f>
        <v>0</v>
      </c>
      <c r="BH60" s="183" t="b">
        <f>IF($B60='Look Up'!$A$6,$H60)</f>
        <v>0</v>
      </c>
      <c r="BI60" s="183" t="b">
        <f>IF($B60='Look Up'!$A$7,$H60)</f>
        <v>0</v>
      </c>
      <c r="BJ60" s="183" t="b">
        <f>IF($B60='Look Up'!$A$7,$H60)</f>
        <v>0</v>
      </c>
      <c r="BO60" s="183" t="str">
        <f>C60&amp;B60</f>
        <v/>
      </c>
    </row>
    <row r="61" spans="1:67" ht="15.75" customHeight="1">
      <c r="A61" s="301"/>
      <c r="B61" s="8"/>
      <c r="C61" s="444"/>
      <c r="D61" s="1056"/>
      <c r="E61" s="1056"/>
      <c r="F61" s="462"/>
      <c r="G61" s="463">
        <f>IF(ISERROR(VLOOKUP(A61,'Data Sheet Costs'!$A:$C,3,FALSE)),0,VLOOKUP(A61,'Data Sheet Costs'!$A:$C,3,FALSE))</f>
        <v>0</v>
      </c>
      <c r="H61" s="302"/>
      <c r="I61" s="303"/>
      <c r="J61" s="302"/>
      <c r="K61" s="302"/>
      <c r="L61" s="302"/>
      <c r="M61" s="302"/>
      <c r="N61" s="302"/>
      <c r="O61" s="302"/>
      <c r="P61" s="303"/>
      <c r="Q61" s="302"/>
      <c r="R61" s="303"/>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425"/>
      <c r="AR61" s="440">
        <f>(SUM(H61:AP61))*G61</f>
        <v>0</v>
      </c>
      <c r="AS61" s="440">
        <f>IF('Study Information &amp; rates'!$B$44="Yes",AR61*0.287,0)</f>
        <v>0</v>
      </c>
      <c r="AT61" s="440">
        <f>IF('Study Information &amp; rates'!$B$44="No",0,AR61*0.05)</f>
        <v>0</v>
      </c>
      <c r="AU61" s="440">
        <f>IF('Study Information &amp; rates'!$B$45="No",AR61+AS61+AT61,'Set-up and other costs'!$B$18*(AR61+AS61+AT61))</f>
        <v>0</v>
      </c>
      <c r="BG61" s="183" t="b">
        <f>IF($B61='Look Up'!$A$5,$H61)</f>
        <v>0</v>
      </c>
      <c r="BH61" s="183" t="b">
        <f>IF($B61='Look Up'!$A$6,$H61)</f>
        <v>0</v>
      </c>
      <c r="BI61" s="183" t="b">
        <f>IF($B61='Look Up'!$A$7,$H61)</f>
        <v>0</v>
      </c>
      <c r="BJ61" s="183" t="b">
        <f>IF($B61='Look Up'!$A$7,$H61)</f>
        <v>0</v>
      </c>
      <c r="BO61" s="183" t="str">
        <f>C61&amp;B61</f>
        <v/>
      </c>
    </row>
    <row r="62" spans="1:67">
      <c r="A62" s="301"/>
      <c r="B62" s="8"/>
      <c r="C62" s="444"/>
      <c r="D62" s="1056"/>
      <c r="E62" s="1056"/>
      <c r="F62" s="462"/>
      <c r="G62" s="463">
        <f>IF(ISERROR(VLOOKUP(A62,'Data Sheet Costs'!$A:$C,3,FALSE)),0,VLOOKUP(A62,'Data Sheet Costs'!$A:$C,3,FALSE))</f>
        <v>0</v>
      </c>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425"/>
      <c r="AR62" s="440">
        <f>(SUM(H62:AP62))*G62</f>
        <v>0</v>
      </c>
      <c r="AS62" s="440">
        <f>IF('Study Information &amp; rates'!$B$44="Yes",AR62*0.287,0)</f>
        <v>0</v>
      </c>
      <c r="AT62" s="440">
        <f>IF('Study Information &amp; rates'!$B$44="No",0,AR62*0.05)</f>
        <v>0</v>
      </c>
      <c r="AU62" s="440">
        <f>IF('Study Information &amp; rates'!$B$45="No",AR62+AS62+AT62,'Set-up and other costs'!$B$18*(AR62+AS62+AT62))</f>
        <v>0</v>
      </c>
      <c r="BG62" s="183" t="b">
        <f>IF($B62='Look Up'!$A$5,$H62)</f>
        <v>0</v>
      </c>
      <c r="BH62" s="183" t="b">
        <f>IF($B62='Look Up'!$A$6,$H62)</f>
        <v>0</v>
      </c>
      <c r="BI62" s="183" t="b">
        <f>IF($B62='Look Up'!$A$7,$H62)</f>
        <v>0</v>
      </c>
      <c r="BJ62" s="183" t="b">
        <f>IF($B62='Look Up'!$A$7,$H62)</f>
        <v>0</v>
      </c>
      <c r="BO62" s="183" t="str">
        <f>C62&amp;B62</f>
        <v/>
      </c>
    </row>
    <row r="63" spans="1:67">
      <c r="A63" s="8"/>
      <c r="B63" s="8"/>
      <c r="C63" s="444"/>
      <c r="D63" s="1056"/>
      <c r="E63" s="1056"/>
      <c r="F63" s="462"/>
      <c r="G63" s="463">
        <f>IF(ISERROR(VLOOKUP(A63,'Data Sheet Costs'!$A:$C,3,FALSE)),0,VLOOKUP(A63,'Data Sheet Costs'!$A:$C,3,FALSE))</f>
        <v>0</v>
      </c>
      <c r="H63" s="302"/>
      <c r="I63" s="302"/>
      <c r="J63" s="302"/>
      <c r="K63" s="302"/>
      <c r="L63" s="302"/>
      <c r="M63" s="302"/>
      <c r="N63" s="302"/>
      <c r="O63" s="302"/>
      <c r="P63" s="302"/>
      <c r="Q63" s="302"/>
      <c r="R63" s="302"/>
      <c r="S63" s="302"/>
      <c r="T63" s="302"/>
      <c r="U63" s="302"/>
      <c r="V63" s="302"/>
      <c r="W63" s="302"/>
      <c r="X63" s="327"/>
      <c r="Y63" s="327"/>
      <c r="Z63" s="327"/>
      <c r="AA63" s="327"/>
      <c r="AB63" s="327" t="s">
        <v>34</v>
      </c>
      <c r="AC63" s="327" t="s">
        <v>34</v>
      </c>
      <c r="AD63" s="327" t="s">
        <v>34</v>
      </c>
      <c r="AE63" s="327" t="s">
        <v>34</v>
      </c>
      <c r="AF63" s="327" t="s">
        <v>34</v>
      </c>
      <c r="AG63" s="302"/>
      <c r="AH63" s="302"/>
      <c r="AI63" s="302"/>
      <c r="AJ63" s="302"/>
      <c r="AK63" s="302"/>
      <c r="AL63" s="302"/>
      <c r="AM63" s="302"/>
      <c r="AN63" s="302"/>
      <c r="AO63" s="302"/>
      <c r="AP63" s="302"/>
      <c r="AQ63" s="425"/>
      <c r="AR63" s="440">
        <f>(SUM(H63:AP63))*G63</f>
        <v>0</v>
      </c>
      <c r="AS63" s="440">
        <f>IF('Study Information &amp; rates'!$B$44="Yes",AR63*0.287,0)</f>
        <v>0</v>
      </c>
      <c r="AT63" s="440">
        <f>IF('Study Information &amp; rates'!$B$44="No",0,AR63*0.05)</f>
        <v>0</v>
      </c>
      <c r="AU63" s="440">
        <f>IF('Study Information &amp; rates'!$B$45="No",AR63+AS63+AT63,'Set-up and other costs'!$B$18*(AR63+AS63+AT63))</f>
        <v>0</v>
      </c>
      <c r="BG63" s="183" t="b">
        <f>IF($B63='Look Up'!$A$5,$H63)</f>
        <v>0</v>
      </c>
      <c r="BH63" s="183" t="b">
        <f>IF($B63='Look Up'!$A$6,$H63)</f>
        <v>0</v>
      </c>
      <c r="BI63" s="183" t="b">
        <f>IF($B63='Look Up'!$A$7,$H63)</f>
        <v>0</v>
      </c>
      <c r="BJ63" s="183" t="b">
        <f>IF($B63='Look Up'!$A$7,$H63)</f>
        <v>0</v>
      </c>
      <c r="BO63" s="183" t="str">
        <f>C63&amp;B63</f>
        <v/>
      </c>
    </row>
    <row r="64" spans="1:67" ht="15.75" customHeight="1">
      <c r="A64" s="8"/>
      <c r="B64" s="8"/>
      <c r="C64" s="444"/>
      <c r="D64" s="1056"/>
      <c r="E64" s="1056"/>
      <c r="F64" s="462"/>
      <c r="G64" s="463">
        <v>0</v>
      </c>
      <c r="H64" s="302"/>
      <c r="I64" s="302"/>
      <c r="J64" s="302"/>
      <c r="K64" s="302"/>
      <c r="L64" s="302"/>
      <c r="M64" s="302"/>
      <c r="N64" s="302"/>
      <c r="O64" s="302"/>
      <c r="P64" s="302"/>
      <c r="Q64" s="302"/>
      <c r="R64" s="302"/>
      <c r="S64" s="302"/>
      <c r="T64" s="302"/>
      <c r="U64" s="302"/>
      <c r="V64" s="302"/>
      <c r="W64" s="302"/>
      <c r="X64" s="327"/>
      <c r="Y64" s="327"/>
      <c r="Z64" s="327"/>
      <c r="AA64" s="327"/>
      <c r="AB64" s="327" t="s">
        <v>34</v>
      </c>
      <c r="AC64" s="327" t="s">
        <v>34</v>
      </c>
      <c r="AD64" s="327" t="s">
        <v>34</v>
      </c>
      <c r="AE64" s="327" t="s">
        <v>34</v>
      </c>
      <c r="AF64" s="327" t="s">
        <v>34</v>
      </c>
      <c r="AG64" s="302"/>
      <c r="AH64" s="302"/>
      <c r="AI64" s="302"/>
      <c r="AJ64" s="302"/>
      <c r="AK64" s="302"/>
      <c r="AL64" s="302"/>
      <c r="AM64" s="302"/>
      <c r="AN64" s="302"/>
      <c r="AO64" s="302"/>
      <c r="AP64" s="302"/>
      <c r="AQ64" s="425"/>
      <c r="AR64" s="440">
        <f>(SUM(H64:AP64))*G64</f>
        <v>0</v>
      </c>
      <c r="AS64" s="440">
        <f>IF('Study Information &amp; rates'!$B$44="Yes",AR64*0.287,0)</f>
        <v>0</v>
      </c>
      <c r="AT64" s="440">
        <f>IF('Study Information &amp; rates'!$B$44="No",0,AR64*0.05)</f>
        <v>0</v>
      </c>
      <c r="AU64" s="440">
        <f>IF('Study Information &amp; rates'!$B$45="No",AR64+AS64+AT64,'Set-up and other costs'!$B$18*(AR64+AS64+AT64))</f>
        <v>0</v>
      </c>
      <c r="BG64" s="183" t="b">
        <f>IF($B64='Look Up'!$A$5,$H64)</f>
        <v>0</v>
      </c>
      <c r="BH64" s="183" t="b">
        <f>IF($B64='Look Up'!$A$6,$H64)</f>
        <v>0</v>
      </c>
      <c r="BI64" s="183" t="b">
        <f>IF($B64='Look Up'!$A$7,$H64)</f>
        <v>0</v>
      </c>
      <c r="BJ64" s="183" t="b">
        <f>IF($B64='Look Up'!$A$7,$H64)</f>
        <v>0</v>
      </c>
      <c r="BO64" s="183" t="str">
        <f>C64&amp;B64</f>
        <v/>
      </c>
    </row>
    <row r="65" spans="1:67">
      <c r="A65" s="8"/>
      <c r="B65" s="8"/>
      <c r="C65" s="444"/>
      <c r="D65" s="1056"/>
      <c r="E65" s="1056"/>
      <c r="F65" s="462"/>
      <c r="G65" s="463">
        <f>IF(ISERROR(VLOOKUP(A65,'Data Sheet Costs'!$A:$C,3,FALSE)),0,VLOOKUP(A65,'Data Sheet Costs'!$A:$C,3,FALSE))</f>
        <v>0</v>
      </c>
      <c r="H65" s="302"/>
      <c r="I65" s="302"/>
      <c r="J65" s="302"/>
      <c r="K65" s="302"/>
      <c r="L65" s="302"/>
      <c r="M65" s="302"/>
      <c r="N65" s="302"/>
      <c r="O65" s="302"/>
      <c r="P65" s="302"/>
      <c r="Q65" s="302"/>
      <c r="R65" s="302"/>
      <c r="S65" s="302"/>
      <c r="T65" s="302"/>
      <c r="U65" s="302"/>
      <c r="V65" s="302"/>
      <c r="W65" s="302"/>
      <c r="X65" s="327"/>
      <c r="Y65" s="327"/>
      <c r="Z65" s="327"/>
      <c r="AA65" s="327"/>
      <c r="AB65" s="327" t="s">
        <v>34</v>
      </c>
      <c r="AC65" s="327" t="s">
        <v>34</v>
      </c>
      <c r="AD65" s="327" t="s">
        <v>34</v>
      </c>
      <c r="AE65" s="327" t="s">
        <v>34</v>
      </c>
      <c r="AF65" s="327" t="s">
        <v>34</v>
      </c>
      <c r="AG65" s="302"/>
      <c r="AH65" s="302"/>
      <c r="AI65" s="302"/>
      <c r="AJ65" s="302"/>
      <c r="AK65" s="302"/>
      <c r="AL65" s="302"/>
      <c r="AM65" s="302"/>
      <c r="AN65" s="302"/>
      <c r="AO65" s="302"/>
      <c r="AP65" s="302"/>
      <c r="AQ65" s="425"/>
      <c r="AR65" s="440">
        <f>(SUM(H65:AP65))*G65</f>
        <v>0</v>
      </c>
      <c r="AS65" s="440">
        <f>IF('Study Information &amp; rates'!$B$44="Yes",AR65*0.287,0)</f>
        <v>0</v>
      </c>
      <c r="AT65" s="440">
        <f>IF('Study Information &amp; rates'!$B$44="No",0,AR65*0.05)</f>
        <v>0</v>
      </c>
      <c r="AU65" s="440">
        <f>IF('Study Information &amp; rates'!$B$45="No",AR65+AS65+AT65,'Set-up and other costs'!$B$18*(AR65+AS65+AT65))</f>
        <v>0</v>
      </c>
      <c r="BG65" s="183" t="b">
        <f>IF($B65='Look Up'!$A$5,$H65)</f>
        <v>0</v>
      </c>
      <c r="BH65" s="183" t="b">
        <f>IF($B65='Look Up'!$A$6,$H65)</f>
        <v>0</v>
      </c>
      <c r="BI65" s="183" t="b">
        <f>IF($B65='Look Up'!$A$7,$H65)</f>
        <v>0</v>
      </c>
      <c r="BJ65" s="183" t="b">
        <f>IF($B65='Look Up'!$A$7,$H65)</f>
        <v>0</v>
      </c>
      <c r="BO65" s="183" t="str">
        <f>C65&amp;B65</f>
        <v/>
      </c>
    </row>
    <row r="66" spans="1:67">
      <c r="A66" s="8"/>
      <c r="B66" s="8"/>
      <c r="C66" s="444"/>
      <c r="D66" s="1056"/>
      <c r="E66" s="1056"/>
      <c r="F66" s="462"/>
      <c r="G66" s="463">
        <f>IF(ISERROR(VLOOKUP(A66,'Data Sheet Costs'!$A:$C,3,FALSE)),0,VLOOKUP(A66,'Data Sheet Costs'!$A:$C,3,FALSE))</f>
        <v>0</v>
      </c>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425"/>
      <c r="AR66" s="440">
        <f>(SUM(H66:AP66))*G66</f>
        <v>0</v>
      </c>
      <c r="AS66" s="440">
        <f>IF('Study Information &amp; rates'!$B$44="Yes",AR66*0.287,0)</f>
        <v>0</v>
      </c>
      <c r="AT66" s="440">
        <f>IF('Study Information &amp; rates'!$B$44="No",0,AR66*0.05)</f>
        <v>0</v>
      </c>
      <c r="AU66" s="440">
        <f>IF('Study Information &amp; rates'!$B$45="No",AR66+AS66+AT66,'Set-up and other costs'!$B$18*(AR66+AS66+AT66))</f>
        <v>0</v>
      </c>
      <c r="BG66" s="183" t="b">
        <f>IF($B66='Look Up'!$A$5,$H66)</f>
        <v>0</v>
      </c>
      <c r="BH66" s="183" t="b">
        <f>IF($B66='Look Up'!$A$6,$H66)</f>
        <v>0</v>
      </c>
      <c r="BI66" s="183" t="b">
        <f>IF($B66='Look Up'!$A$7,$H66)</f>
        <v>0</v>
      </c>
      <c r="BJ66" s="183" t="b">
        <f>IF($B66='Look Up'!$A$7,$H66)</f>
        <v>0</v>
      </c>
      <c r="BO66" s="183" t="str">
        <f>C66&amp;B66</f>
        <v/>
      </c>
    </row>
    <row r="67" spans="1:67" ht="15.75" customHeight="1">
      <c r="A67" s="8"/>
      <c r="B67" s="8"/>
      <c r="C67" s="444"/>
      <c r="D67" s="1056"/>
      <c r="E67" s="1056"/>
      <c r="F67" s="462"/>
      <c r="G67" s="463">
        <f>IF(ISERROR(VLOOKUP(A67,'Data Sheet Costs'!$A:$C,3,FALSE)),0,VLOOKUP(A67,'Data Sheet Costs'!$A:$C,3,FALSE))</f>
        <v>0</v>
      </c>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425"/>
      <c r="AR67" s="440">
        <f>(SUM(H67:AP67))*G67</f>
        <v>0</v>
      </c>
      <c r="AS67" s="440">
        <f>IF('Study Information &amp; rates'!$B$44="Yes",AR67*0.287,0)</f>
        <v>0</v>
      </c>
      <c r="AT67" s="440">
        <f>IF('Study Information &amp; rates'!$B$44="No",0,AR67*0.05)</f>
        <v>0</v>
      </c>
      <c r="AU67" s="440">
        <f>IF('Study Information &amp; rates'!$B$45="No",AR67+AS67+AT67,'Set-up and other costs'!$B$18*(AR67+AS67+AT67))</f>
        <v>0</v>
      </c>
      <c r="BG67" s="183" t="b">
        <f>IF($B67='Look Up'!$A$5,$H67)</f>
        <v>0</v>
      </c>
      <c r="BH67" s="183" t="b">
        <f>IF($B67='Look Up'!$A$6,$H67)</f>
        <v>0</v>
      </c>
      <c r="BI67" s="183" t="b">
        <f>IF($B67='Look Up'!$A$7,$H67)</f>
        <v>0</v>
      </c>
      <c r="BJ67" s="183" t="b">
        <f>IF($B67='Look Up'!$A$7,$H67)</f>
        <v>0</v>
      </c>
      <c r="BO67" s="183" t="str">
        <f>C67&amp;B67</f>
        <v/>
      </c>
    </row>
    <row r="68" spans="1:67">
      <c r="A68" s="8"/>
      <c r="B68" s="8"/>
      <c r="C68" s="444"/>
      <c r="D68" s="1056"/>
      <c r="E68" s="1056"/>
      <c r="F68" s="462"/>
      <c r="G68" s="463">
        <v>0</v>
      </c>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302"/>
      <c r="AO68" s="302"/>
      <c r="AP68" s="302"/>
      <c r="AQ68" s="425"/>
      <c r="AR68" s="440">
        <f>(SUM(H68:AP68))*G68</f>
        <v>0</v>
      </c>
      <c r="AS68" s="440">
        <f>IF('Study Information &amp; rates'!$B$44="Yes",AR68*0.287,0)</f>
        <v>0</v>
      </c>
      <c r="AT68" s="440">
        <f>IF('Study Information &amp; rates'!$B$44="No",0,AR68*0.05)</f>
        <v>0</v>
      </c>
      <c r="AU68" s="440">
        <f>IF('Study Information &amp; rates'!$B$45="No",AR68+AS68+AT68,'Set-up and other costs'!$B$18*(AR68+AS68+AT68))</f>
        <v>0</v>
      </c>
      <c r="BG68" s="183" t="b">
        <f>IF($B68='Look Up'!$A$5,$H68)</f>
        <v>0</v>
      </c>
      <c r="BH68" s="183" t="b">
        <f>IF($B68='Look Up'!$A$6,$H68)</f>
        <v>0</v>
      </c>
      <c r="BI68" s="183" t="b">
        <f>IF($B68='Look Up'!$A$7,$H68)</f>
        <v>0</v>
      </c>
      <c r="BJ68" s="183" t="b">
        <f>IF($B68='Look Up'!$A$7,$H68)</f>
        <v>0</v>
      </c>
      <c r="BO68" s="183" t="str">
        <f>C68&amp;B68</f>
        <v/>
      </c>
    </row>
    <row r="69" spans="1:67">
      <c r="A69" s="8"/>
      <c r="B69" s="8"/>
      <c r="C69" s="444"/>
      <c r="D69" s="1056"/>
      <c r="E69" s="1056"/>
      <c r="F69" s="462"/>
      <c r="G69" s="463">
        <f>IF(ISERROR(VLOOKUP(A69,'Data Sheet Costs'!$A:$C,3,FALSE)),0,VLOOKUP(A69,'Data Sheet Costs'!$A:$C,3,FALSE))</f>
        <v>0</v>
      </c>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02"/>
      <c r="AP69" s="302"/>
      <c r="AQ69" s="425"/>
      <c r="AR69" s="440">
        <f>(SUM(H69:AP69))*G69</f>
        <v>0</v>
      </c>
      <c r="AS69" s="440">
        <f>IF('Study Information &amp; rates'!$B$44="Yes",AR69*0.287,0)</f>
        <v>0</v>
      </c>
      <c r="AT69" s="440">
        <f>IF('Study Information &amp; rates'!$B$44="No",0,AR69*0.05)</f>
        <v>0</v>
      </c>
      <c r="AU69" s="440">
        <f>IF('Study Information &amp; rates'!$B$45="No",AR69+AS69+AT69,'Set-up and other costs'!$B$18*(AR69+AS69+AT69))</f>
        <v>0</v>
      </c>
      <c r="BG69" s="183" t="b">
        <f>IF($B69='Look Up'!$A$5,$H69)</f>
        <v>0</v>
      </c>
      <c r="BH69" s="183" t="b">
        <f>IF($B69='Look Up'!$A$6,$H69)</f>
        <v>0</v>
      </c>
      <c r="BI69" s="183" t="b">
        <f>IF($B69='Look Up'!$A$7,$H69)</f>
        <v>0</v>
      </c>
      <c r="BJ69" s="183" t="b">
        <f>IF($B69='Look Up'!$A$7,$H69)</f>
        <v>0</v>
      </c>
      <c r="BO69" s="183" t="str">
        <f>C69&amp;B69</f>
        <v/>
      </c>
    </row>
    <row r="70" spans="1:67" ht="15.75" customHeight="1">
      <c r="A70" s="8"/>
      <c r="B70" s="8"/>
      <c r="C70" s="444"/>
      <c r="D70" s="1056"/>
      <c r="E70" s="1056"/>
      <c r="F70" s="462"/>
      <c r="G70" s="463">
        <v>0</v>
      </c>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425"/>
      <c r="AR70" s="440">
        <f>(SUM(H70:AP70))*G70</f>
        <v>0</v>
      </c>
      <c r="AS70" s="440">
        <f>IF('Study Information &amp; rates'!$B$44="Yes",AR70*0.287,0)</f>
        <v>0</v>
      </c>
      <c r="AT70" s="440">
        <f>IF('Study Information &amp; rates'!$B$44="No",0,AR70*0.05)</f>
        <v>0</v>
      </c>
      <c r="AU70" s="440">
        <f>IF('Study Information &amp; rates'!$B$45="No",AR70+AS70+AT70,'Set-up and other costs'!$B$18*(AR70+AS70+AT70))</f>
        <v>0</v>
      </c>
      <c r="BG70" s="183" t="b">
        <f>IF($B70='Look Up'!$A$5,$H70)</f>
        <v>0</v>
      </c>
      <c r="BH70" s="183" t="b">
        <f>IF($B70='Look Up'!$A$6,$H70)</f>
        <v>0</v>
      </c>
      <c r="BI70" s="183" t="b">
        <f>IF($B70='Look Up'!$A$7,$H70)</f>
        <v>0</v>
      </c>
      <c r="BJ70" s="183" t="b">
        <f>IF($B70='Look Up'!$A$7,$H70)</f>
        <v>0</v>
      </c>
      <c r="BO70" s="183" t="str">
        <f>C70&amp;B70</f>
        <v/>
      </c>
    </row>
    <row r="71" spans="1:67">
      <c r="A71" s="8"/>
      <c r="B71" s="8"/>
      <c r="C71" s="444"/>
      <c r="D71" s="1056"/>
      <c r="E71" s="1056"/>
      <c r="F71" s="462"/>
      <c r="G71" s="463">
        <f>IF(ISERROR(VLOOKUP(A71,'Data Sheet Costs'!$A:$C,3,FALSE)),0,VLOOKUP(A71,'Data Sheet Costs'!$A:$C,3,FALSE))</f>
        <v>0</v>
      </c>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425"/>
      <c r="AR71" s="440">
        <f>(SUM(H71:AP71))*G71</f>
        <v>0</v>
      </c>
      <c r="AS71" s="440">
        <f>IF('Study Information &amp; rates'!$B$44="Yes",AR71*0.287,0)</f>
        <v>0</v>
      </c>
      <c r="AT71" s="440">
        <f>IF('Study Information &amp; rates'!$B$44="No",0,AR71*0.05)</f>
        <v>0</v>
      </c>
      <c r="AU71" s="440">
        <f>IF('Study Information &amp; rates'!$B$45="No",AR71+AS71+AT71,'Set-up and other costs'!$B$18*(AR71+AS71+AT71))</f>
        <v>0</v>
      </c>
      <c r="BG71" s="183" t="b">
        <f>IF($B71='Look Up'!$A$5,$H71)</f>
        <v>0</v>
      </c>
      <c r="BH71" s="183" t="b">
        <f>IF($B71='Look Up'!$A$6,$H71)</f>
        <v>0</v>
      </c>
      <c r="BI71" s="183" t="b">
        <f>IF($B71='Look Up'!$A$7,$H71)</f>
        <v>0</v>
      </c>
      <c r="BJ71" s="183" t="b">
        <f>IF($B71='Look Up'!$A$7,$H71)</f>
        <v>0</v>
      </c>
      <c r="BO71" s="183" t="str">
        <f>C71&amp;B71</f>
        <v/>
      </c>
    </row>
    <row r="72" spans="1:67">
      <c r="A72" s="8"/>
      <c r="B72" s="8"/>
      <c r="C72" s="444"/>
      <c r="D72" s="1056"/>
      <c r="E72" s="1056"/>
      <c r="F72" s="462"/>
      <c r="G72" s="463">
        <f>IF(ISERROR(VLOOKUP(A72,'Data Sheet Costs'!$A:$C,3,FALSE)),0,VLOOKUP(A72,'Data Sheet Costs'!$A:$C,3,FALSE))</f>
        <v>0</v>
      </c>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302"/>
      <c r="AP72" s="302"/>
      <c r="AQ72" s="425"/>
      <c r="AR72" s="440">
        <f>(SUM(H72:AP72))*G72</f>
        <v>0</v>
      </c>
      <c r="AS72" s="440">
        <f>IF('Study Information &amp; rates'!$B$44="Yes",AR72*0.287,0)</f>
        <v>0</v>
      </c>
      <c r="AT72" s="440">
        <f>IF('Study Information &amp; rates'!$B$44="No",0,AR72*0.05)</f>
        <v>0</v>
      </c>
      <c r="AU72" s="440">
        <f>IF('Study Information &amp; rates'!$B$45="No",AR72+AS72+AT72,'Set-up and other costs'!$B$18*(AR72+AS72+AT72))</f>
        <v>0</v>
      </c>
      <c r="BG72" s="183" t="b">
        <f>IF($B72='Look Up'!$A$5,$H72)</f>
        <v>0</v>
      </c>
      <c r="BH72" s="183" t="b">
        <f>IF($B72='Look Up'!$A$6,$H72)</f>
        <v>0</v>
      </c>
      <c r="BI72" s="183" t="b">
        <f>IF($B72='Look Up'!$A$7,$H72)</f>
        <v>0</v>
      </c>
      <c r="BJ72" s="183" t="b">
        <f>IF($B72='Look Up'!$A$7,$H72)</f>
        <v>0</v>
      </c>
      <c r="BO72" s="183" t="str">
        <f>C72&amp;B72</f>
        <v/>
      </c>
    </row>
    <row r="73" spans="1:67" ht="15.75" customHeight="1">
      <c r="A73" s="8"/>
      <c r="B73" s="8"/>
      <c r="C73" s="444"/>
      <c r="D73" s="1056"/>
      <c r="E73" s="1056"/>
      <c r="F73" s="462"/>
      <c r="G73" s="463">
        <f>IF(ISERROR(VLOOKUP(A73,'Data Sheet Costs'!$A:$C,3,FALSE)),0,VLOOKUP(A73,'Data Sheet Costs'!$A:$C,3,FALSE))</f>
        <v>0</v>
      </c>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302"/>
      <c r="AP73" s="302"/>
      <c r="AQ73" s="425"/>
      <c r="AR73" s="440">
        <f>(SUM(H73:AP73))*G73</f>
        <v>0</v>
      </c>
      <c r="AS73" s="440">
        <f>IF('Study Information &amp; rates'!$B$44="Yes",AR73*0.287,0)</f>
        <v>0</v>
      </c>
      <c r="AT73" s="440">
        <f>IF('Study Information &amp; rates'!$B$44="No",0,AR73*0.05)</f>
        <v>0</v>
      </c>
      <c r="AU73" s="440">
        <f>IF('Study Information &amp; rates'!$B$45="No",AR73+AS73+AT73,'Set-up and other costs'!$B$18*(AR73+AS73+AT73))</f>
        <v>0</v>
      </c>
      <c r="BG73" s="183" t="b">
        <f>IF($B73='Look Up'!$A$5,$H73)</f>
        <v>0</v>
      </c>
      <c r="BH73" s="183" t="b">
        <f>IF($B73='Look Up'!$A$6,$H73)</f>
        <v>0</v>
      </c>
      <c r="BI73" s="183" t="b">
        <f>IF($B73='Look Up'!$A$7,$H73)</f>
        <v>0</v>
      </c>
      <c r="BJ73" s="183" t="b">
        <f>IF($B73='Look Up'!$A$7,$H73)</f>
        <v>0</v>
      </c>
      <c r="BO73" s="183" t="str">
        <f>C73&amp;B73</f>
        <v/>
      </c>
    </row>
    <row r="74" spans="1:67">
      <c r="A74" s="8"/>
      <c r="B74" s="8"/>
      <c r="C74" s="444"/>
      <c r="D74" s="1056"/>
      <c r="E74" s="1056"/>
      <c r="F74" s="462"/>
      <c r="G74" s="463">
        <f>IF(ISERROR(VLOOKUP(A74,'Data Sheet Costs'!$A:$C,3,FALSE)),0,VLOOKUP(A74,'Data Sheet Costs'!$A:$C,3,FALSE))</f>
        <v>0</v>
      </c>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425"/>
      <c r="AR74" s="440">
        <f>(SUM(H74:AP74))*G74</f>
        <v>0</v>
      </c>
      <c r="AS74" s="440">
        <f>IF('Study Information &amp; rates'!$B$44="Yes",AR74*0.287,0)</f>
        <v>0</v>
      </c>
      <c r="AT74" s="440">
        <f>IF('Study Information &amp; rates'!$B$44="No",0,AR74*0.05)</f>
        <v>0</v>
      </c>
      <c r="AU74" s="440">
        <f>IF('Study Information &amp; rates'!$B$45="No",AR74+AS74+AT74,'Set-up and other costs'!$B$18*(AR74+AS74+AT74))</f>
        <v>0</v>
      </c>
      <c r="BG74" s="183" t="b">
        <f>IF($B74='Look Up'!$A$5,$H74)</f>
        <v>0</v>
      </c>
      <c r="BH74" s="183" t="b">
        <f>IF($B74='Look Up'!$A$6,$H74)</f>
        <v>0</v>
      </c>
      <c r="BI74" s="183" t="b">
        <f>IF($B74='Look Up'!$A$7,$H74)</f>
        <v>0</v>
      </c>
      <c r="BJ74" s="183" t="b">
        <f>IF($B74='Look Up'!$A$7,$H74)</f>
        <v>0</v>
      </c>
      <c r="BO74" s="183" t="str">
        <f>C74&amp;B74</f>
        <v/>
      </c>
    </row>
    <row r="75" spans="1:67">
      <c r="A75" s="8"/>
      <c r="B75" s="8"/>
      <c r="C75" s="444"/>
      <c r="D75" s="1056"/>
      <c r="E75" s="1056"/>
      <c r="F75" s="462"/>
      <c r="G75" s="463">
        <f>IF(ISERROR(VLOOKUP(A75,'Data Sheet Costs'!$A:$C,3,FALSE)),0,VLOOKUP(A75,'Data Sheet Costs'!$A:$C,3,FALSE))</f>
        <v>0</v>
      </c>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425"/>
      <c r="AR75" s="440">
        <f>(SUM(H75:AP75))*G75</f>
        <v>0</v>
      </c>
      <c r="AS75" s="440">
        <f>IF('Study Information &amp; rates'!$B$44="Yes",AR75*0.287,0)</f>
        <v>0</v>
      </c>
      <c r="AT75" s="440">
        <f>IF('Study Information &amp; rates'!$B$44="No",0,AR75*0.05)</f>
        <v>0</v>
      </c>
      <c r="AU75" s="440">
        <f>IF('Study Information &amp; rates'!$B$45="No",AR75+AS75+AT75,'Set-up and other costs'!$B$18*(AR75+AS75+AT75))</f>
        <v>0</v>
      </c>
      <c r="BG75" s="183" t="b">
        <f>IF($B75='Look Up'!$A$5,$H75)</f>
        <v>0</v>
      </c>
      <c r="BH75" s="183" t="b">
        <f>IF($B75='Look Up'!$A$6,$H75)</f>
        <v>0</v>
      </c>
      <c r="BI75" s="183" t="b">
        <f>IF($B75='Look Up'!$A$7,$H75)</f>
        <v>0</v>
      </c>
      <c r="BJ75" s="183" t="b">
        <f>IF($B75='Look Up'!$A$7,$H75)</f>
        <v>0</v>
      </c>
      <c r="BO75" s="183" t="str">
        <f>C75&amp;B75</f>
        <v/>
      </c>
    </row>
    <row r="76" spans="1:67" ht="15.75" customHeight="1">
      <c r="A76" s="8"/>
      <c r="B76" s="8"/>
      <c r="C76" s="444"/>
      <c r="D76" s="1056"/>
      <c r="E76" s="1056"/>
      <c r="F76" s="462"/>
      <c r="G76" s="463">
        <f>IF(ISERROR(VLOOKUP(A76,'Data Sheet Costs'!$A:$C,3,FALSE)),0,VLOOKUP(A76,'Data Sheet Costs'!$A:$C,3,FALSE))</f>
        <v>0</v>
      </c>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425"/>
      <c r="AR76" s="440">
        <f>(SUM(H76:AP76))*G76</f>
        <v>0</v>
      </c>
      <c r="AS76" s="440">
        <f>IF('Study Information &amp; rates'!$B$44="Yes",AR76*0.287,0)</f>
        <v>0</v>
      </c>
      <c r="AT76" s="440">
        <f>IF('Study Information &amp; rates'!$B$44="No",0,AR76*0.05)</f>
        <v>0</v>
      </c>
      <c r="AU76" s="440">
        <f>IF('Study Information &amp; rates'!$B$45="No",AR76+AS76+AT76,'Set-up and other costs'!$B$18*(AR76+AS76+AT76))</f>
        <v>0</v>
      </c>
      <c r="BG76" s="183" t="b">
        <f>IF($B76='Look Up'!$A$5,$H76)</f>
        <v>0</v>
      </c>
      <c r="BH76" s="183" t="b">
        <f>IF($B76='Look Up'!$A$6,$H76)</f>
        <v>0</v>
      </c>
      <c r="BI76" s="183" t="b">
        <f>IF($B76='Look Up'!$A$7,$H76)</f>
        <v>0</v>
      </c>
      <c r="BJ76" s="183" t="b">
        <f>IF($B76='Look Up'!$A$7,$H76)</f>
        <v>0</v>
      </c>
      <c r="BO76" s="183" t="str">
        <f>C76&amp;B76</f>
        <v/>
      </c>
    </row>
    <row r="77" spans="1:67">
      <c r="A77" s="8"/>
      <c r="B77" s="8"/>
      <c r="C77" s="444"/>
      <c r="D77" s="1056"/>
      <c r="E77" s="1056"/>
      <c r="F77" s="462"/>
      <c r="G77" s="463">
        <f>IF(ISERROR(VLOOKUP(A77,'Data Sheet Costs'!$A:$C,3,FALSE)),0,VLOOKUP(A77,'Data Sheet Costs'!$A:$C,3,FALSE))</f>
        <v>0</v>
      </c>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425"/>
      <c r="AR77" s="440">
        <f>(SUM(H77:AP77))*G77</f>
        <v>0</v>
      </c>
      <c r="AS77" s="440">
        <f>IF('Study Information &amp; rates'!$B$44="Yes",AR77*0.287,0)</f>
        <v>0</v>
      </c>
      <c r="AT77" s="440">
        <f>IF('Study Information &amp; rates'!$B$44="No",0,AR77*0.05)</f>
        <v>0</v>
      </c>
      <c r="AU77" s="440">
        <f>IF('Study Information &amp; rates'!$B$45="No",AR77+AS77+AT77,'Set-up and other costs'!$B$18*(AR77+AS77+AT77))</f>
        <v>0</v>
      </c>
      <c r="BG77" s="183" t="b">
        <f>IF($B77='Look Up'!$A$5,$H77)</f>
        <v>0</v>
      </c>
      <c r="BH77" s="183" t="b">
        <f>IF($B77='Look Up'!$A$6,$H77)</f>
        <v>0</v>
      </c>
      <c r="BI77" s="183" t="b">
        <f>IF($B77='Look Up'!$A$7,$H77)</f>
        <v>0</v>
      </c>
      <c r="BJ77" s="183" t="b">
        <f>IF($B77='Look Up'!$A$7,$H77)</f>
        <v>0</v>
      </c>
      <c r="BO77" s="183" t="str">
        <f>C77&amp;B77</f>
        <v/>
      </c>
    </row>
    <row r="78" spans="1:67">
      <c r="A78" s="8"/>
      <c r="B78" s="8"/>
      <c r="C78" s="444"/>
      <c r="D78" s="1056"/>
      <c r="E78" s="1056"/>
      <c r="F78" s="462"/>
      <c r="G78" s="463">
        <f>IF(ISERROR(VLOOKUP(A78,'Data Sheet Costs'!$A:$C,3,FALSE)),0,VLOOKUP(A78,'Data Sheet Costs'!$A:$C,3,FALSE))</f>
        <v>0</v>
      </c>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425"/>
      <c r="AR78" s="440">
        <f>(SUM(H78:AP78))*G78</f>
        <v>0</v>
      </c>
      <c r="AS78" s="440">
        <f>IF('Study Information &amp; rates'!$B$44="Yes",AR78*0.287,0)</f>
        <v>0</v>
      </c>
      <c r="AT78" s="440">
        <f>IF('Study Information &amp; rates'!$B$44="No",0,AR78*0.05)</f>
        <v>0</v>
      </c>
      <c r="AU78" s="440">
        <f>IF('Study Information &amp; rates'!$B$45="No",AR78+AS78+AT78,'Set-up and other costs'!$B$18*(AR78+AS78+AT78))</f>
        <v>0</v>
      </c>
      <c r="BG78" s="183" t="b">
        <f>IF($B78='Look Up'!$A$5,$H78)</f>
        <v>0</v>
      </c>
      <c r="BH78" s="183" t="b">
        <f>IF($B78='Look Up'!$A$6,$H78)</f>
        <v>0</v>
      </c>
      <c r="BI78" s="183" t="b">
        <f>IF($B78='Look Up'!$A$7,$H78)</f>
        <v>0</v>
      </c>
      <c r="BJ78" s="183" t="b">
        <f>IF($B78='Look Up'!$A$7,$H78)</f>
        <v>0</v>
      </c>
      <c r="BO78" s="183" t="str">
        <f>C78&amp;B78</f>
        <v/>
      </c>
    </row>
    <row r="79" spans="1:67" ht="15.75" customHeight="1">
      <c r="A79" s="8"/>
      <c r="B79" s="8"/>
      <c r="C79" s="444"/>
      <c r="D79" s="1056"/>
      <c r="E79" s="1056"/>
      <c r="F79" s="462"/>
      <c r="G79" s="463">
        <f>IF(ISERROR(VLOOKUP(A79,'Data Sheet Costs'!$A:$C,3,FALSE)),0,VLOOKUP(A79,'Data Sheet Costs'!$A:$C,3,FALSE))</f>
        <v>0</v>
      </c>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425"/>
      <c r="AR79" s="440">
        <f>(SUM(H79:AP79))*G79</f>
        <v>0</v>
      </c>
      <c r="AS79" s="440">
        <f>IF('Study Information &amp; rates'!$B$44="Yes",AR79*0.287,0)</f>
        <v>0</v>
      </c>
      <c r="AT79" s="440">
        <f>IF('Study Information &amp; rates'!$B$44="No",0,AR79*0.05)</f>
        <v>0</v>
      </c>
      <c r="AU79" s="440">
        <f>IF('Study Information &amp; rates'!$B$45="No",AR79+AS79+AT79,'Set-up and other costs'!$B$18*(AR79+AS79+AT79))</f>
        <v>0</v>
      </c>
      <c r="BG79" s="183" t="b">
        <f>IF($B79='Look Up'!$A$5,$H79)</f>
        <v>0</v>
      </c>
      <c r="BH79" s="183" t="b">
        <f>IF($B79='Look Up'!$A$6,$H79)</f>
        <v>0</v>
      </c>
      <c r="BI79" s="183" t="b">
        <f>IF($B79='Look Up'!$A$7,$H79)</f>
        <v>0</v>
      </c>
      <c r="BJ79" s="183" t="b">
        <f>IF($B79='Look Up'!$A$7,$H79)</f>
        <v>0</v>
      </c>
      <c r="BO79" s="183" t="str">
        <f>C79&amp;B79</f>
        <v/>
      </c>
    </row>
    <row r="80" spans="1:67" ht="15" customHeight="1">
      <c r="A80" s="8"/>
      <c r="B80" s="8"/>
      <c r="C80" s="444"/>
      <c r="D80" s="1056"/>
      <c r="E80" s="1056"/>
      <c r="F80" s="461"/>
      <c r="G80" s="463">
        <f>IF(ISERROR(VLOOKUP(A80,'Data Sheet Costs'!$A:$C,3,FALSE)),0,VLOOKUP(A80,'Data Sheet Costs'!$A:$C,3,FALSE))</f>
        <v>0</v>
      </c>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425"/>
      <c r="AR80" s="440">
        <f>(SUM(H80:AP80))*G80</f>
        <v>0</v>
      </c>
      <c r="AS80" s="440">
        <f>IF('Study Information &amp; rates'!$B$44="Yes",AR80*0.287,0)</f>
        <v>0</v>
      </c>
      <c r="AT80" s="440">
        <f>IF('Study Information &amp; rates'!$B$44="No",0,AR80*0.05)</f>
        <v>0</v>
      </c>
      <c r="AU80" s="440">
        <f>IF('Study Information &amp; rates'!$B$45="No",AR80+AS80+AT80,'Set-up and other costs'!$B$18*(AR80+AS80+AT80))</f>
        <v>0</v>
      </c>
      <c r="BG80" s="183" t="b">
        <f>IF($B80='Look Up'!$A$5,$H80)</f>
        <v>0</v>
      </c>
      <c r="BH80" s="183" t="b">
        <f>IF($B80='Look Up'!$A$6,$H80)</f>
        <v>0</v>
      </c>
      <c r="BI80" s="183" t="b">
        <f>IF($B80='Look Up'!$A$7,$H80)</f>
        <v>0</v>
      </c>
      <c r="BJ80" s="183" t="b">
        <f>IF($B80='Look Up'!$A$7,$H80)</f>
        <v>0</v>
      </c>
      <c r="BO80" s="183" t="str">
        <f>C80&amp;B80</f>
        <v/>
      </c>
    </row>
    <row r="81" spans="1:47">
      <c r="A81" s="510"/>
      <c r="B81" s="510"/>
      <c r="C81" s="510"/>
      <c r="D81" s="510"/>
      <c r="E81" s="510"/>
      <c r="F81" s="510"/>
      <c r="G81" s="510"/>
      <c r="H81" s="508">
        <f>SUM(H55:H80)</f>
        <v>0</v>
      </c>
      <c r="I81" s="508">
        <f>SUM(I55:I80)</f>
        <v>0</v>
      </c>
      <c r="J81" s="508">
        <f>SUM(J55:J80)</f>
        <v>0</v>
      </c>
      <c r="K81" s="508">
        <f>SUM(K55:K80)</f>
        <v>0</v>
      </c>
      <c r="L81" s="508">
        <f>SUM(L55:L80)</f>
        <v>0</v>
      </c>
      <c r="M81" s="508">
        <f>SUM(M55:M80)</f>
        <v>0</v>
      </c>
      <c r="N81" s="508">
        <f>SUM(N55:N80)</f>
        <v>0</v>
      </c>
      <c r="O81" s="508">
        <f>SUM(O55:O80)</f>
        <v>0</v>
      </c>
      <c r="P81" s="508">
        <f>SUM(P55:P80)</f>
        <v>0</v>
      </c>
      <c r="Q81" s="508">
        <f>SUM(Q55:Q80)</f>
        <v>0</v>
      </c>
      <c r="R81" s="508">
        <f>SUM(R55:R80)</f>
        <v>0</v>
      </c>
      <c r="S81" s="508">
        <f>SUM(S55:S80)</f>
        <v>0</v>
      </c>
      <c r="T81" s="508">
        <f>SUM(T55:T80)</f>
        <v>0</v>
      </c>
      <c r="U81" s="508">
        <f>SUM(U55:U80)</f>
        <v>0</v>
      </c>
      <c r="V81" s="508">
        <f>SUM(V55:V80)</f>
        <v>0</v>
      </c>
      <c r="W81" s="508">
        <f>SUM(W55:W80)</f>
        <v>0</v>
      </c>
      <c r="X81" s="508">
        <f>SUM(X55:X80)</f>
        <v>0</v>
      </c>
      <c r="Y81" s="508">
        <f>SUM(Y55:Y80)</f>
        <v>0</v>
      </c>
      <c r="Z81" s="508">
        <f>SUM(Z55:Z80)</f>
        <v>0</v>
      </c>
      <c r="AA81" s="508">
        <f>SUM(AA55:AA80)</f>
        <v>0</v>
      </c>
      <c r="AB81" s="508">
        <f>SUM(AB55:AB80)</f>
        <v>0</v>
      </c>
      <c r="AC81" s="508">
        <f>SUM(AC55:AC80)</f>
        <v>0</v>
      </c>
      <c r="AD81" s="508">
        <f>SUM(AD55:AD80)</f>
        <v>0</v>
      </c>
      <c r="AE81" s="508">
        <f>SUM(AE55:AE80)</f>
        <v>0</v>
      </c>
      <c r="AF81" s="508">
        <f>SUM(AF55:AF80)</f>
        <v>0</v>
      </c>
      <c r="AG81" s="508">
        <f>SUM(AG55:AG80)</f>
        <v>0</v>
      </c>
      <c r="AH81" s="508">
        <f>SUM(AH55:AH80)</f>
        <v>0</v>
      </c>
      <c r="AI81" s="508">
        <f>SUM(AI55:AI80)</f>
        <v>0</v>
      </c>
      <c r="AJ81" s="508">
        <f>SUM(AJ55:AJ80)</f>
        <v>0</v>
      </c>
      <c r="AK81" s="508">
        <f>SUM(AK55:AK80)</f>
        <v>0</v>
      </c>
      <c r="AL81" s="508">
        <f>SUM(AL55:AL80)</f>
        <v>0</v>
      </c>
      <c r="AM81" s="508">
        <f>SUM(AM55:AM80)</f>
        <v>0</v>
      </c>
      <c r="AN81" s="508">
        <f>SUM(AN55:AN80)</f>
        <v>0</v>
      </c>
      <c r="AO81" s="508">
        <f>SUM(AO55:AO80)</f>
        <v>0</v>
      </c>
      <c r="AP81" s="508">
        <f>SUM(AP55:AP80)</f>
        <v>0</v>
      </c>
      <c r="AQ81" s="429"/>
      <c r="AR81" s="440">
        <f>SUM(AR55:AR80)</f>
        <v>0</v>
      </c>
      <c r="AS81" s="440">
        <f>SUM(AS55:AS80)</f>
        <v>0</v>
      </c>
      <c r="AT81" s="440">
        <f>SUM(AT55:AT80)</f>
        <v>0</v>
      </c>
      <c r="AU81" s="440">
        <f>IF('Study Information &amp; rates'!$B$45="No",AR81+AS81+AT81,'Set-up and other costs'!$B$18*(AR81+AS81+AT81))</f>
        <v>0</v>
      </c>
    </row>
    <row r="82" spans="1:48">
      <c r="A82" s="510"/>
      <c r="B82" s="510"/>
      <c r="C82" s="510"/>
      <c r="D82" s="510"/>
      <c r="E82" s="510"/>
      <c r="F82" s="510"/>
      <c r="G82" s="510"/>
      <c r="H82" s="510"/>
      <c r="I82" s="510"/>
      <c r="J82" s="510"/>
      <c r="K82" s="510"/>
      <c r="L82" s="510"/>
      <c r="M82" s="510"/>
      <c r="N82" s="510"/>
      <c r="O82" s="510"/>
      <c r="P82" s="510"/>
      <c r="Q82" s="510"/>
      <c r="R82" s="510"/>
      <c r="S82" s="510"/>
      <c r="T82" s="510"/>
      <c r="U82" s="510"/>
      <c r="V82" s="510"/>
      <c r="W82" s="510"/>
      <c r="X82" s="510"/>
      <c r="Y82" s="510"/>
      <c r="Z82" s="510"/>
      <c r="AA82" s="510"/>
      <c r="AB82" s="510"/>
      <c r="AC82" s="510"/>
      <c r="AD82" s="510"/>
      <c r="AE82" s="510"/>
      <c r="AF82" s="510"/>
      <c r="AG82" s="510"/>
      <c r="AH82" s="510"/>
      <c r="AI82" s="510"/>
      <c r="AJ82" s="510"/>
      <c r="AK82" s="510"/>
      <c r="AL82" s="510"/>
      <c r="AM82" s="510"/>
      <c r="AN82" s="510"/>
      <c r="AO82" s="510"/>
      <c r="AP82" s="510"/>
      <c r="AQ82" s="510"/>
      <c r="AR82" s="510"/>
      <c r="AS82" s="510"/>
      <c r="AT82" s="510"/>
      <c r="AU82" s="510"/>
      <c r="AV82" s="510"/>
    </row>
    <row r="83" spans="1:48" ht="13.5" thickBot="1">
      <c r="A83" s="510"/>
      <c r="B83" s="510"/>
      <c r="C83" s="510"/>
      <c r="D83" s="510"/>
      <c r="E83" s="510"/>
      <c r="F83" s="510"/>
      <c r="G83" s="510"/>
      <c r="H83" s="510"/>
      <c r="I83" s="510"/>
      <c r="J83" s="510"/>
      <c r="K83" s="510"/>
      <c r="L83" s="510"/>
      <c r="M83" s="510"/>
      <c r="N83" s="510"/>
      <c r="O83" s="510"/>
      <c r="P83" s="510"/>
      <c r="Q83" s="510"/>
      <c r="R83" s="510"/>
      <c r="S83" s="510"/>
      <c r="T83" s="510"/>
      <c r="U83" s="510"/>
      <c r="V83" s="510"/>
      <c r="W83" s="510"/>
      <c r="X83" s="510"/>
      <c r="Y83" s="510"/>
      <c r="Z83" s="510"/>
      <c r="AA83" s="510"/>
      <c r="AB83" s="510"/>
      <c r="AC83" s="510"/>
      <c r="AD83" s="510"/>
      <c r="AE83" s="510"/>
      <c r="AF83" s="510"/>
      <c r="AG83" s="510"/>
      <c r="AH83" s="510"/>
      <c r="AI83" s="510"/>
      <c r="AJ83" s="510"/>
      <c r="AK83" s="510"/>
      <c r="AL83" s="510"/>
      <c r="AM83" s="510"/>
      <c r="AN83" s="510"/>
      <c r="AO83" s="510"/>
      <c r="AP83" s="510"/>
      <c r="AQ83" s="510"/>
      <c r="AR83" s="510" t="s">
        <v>50</v>
      </c>
      <c r="AS83" s="510"/>
      <c r="AT83" s="510"/>
      <c r="AU83" s="510"/>
      <c r="AV83" s="510"/>
    </row>
    <row r="84" spans="1:59" ht="13.5" thickBot="1">
      <c r="A84" s="512" t="s">
        <v>1972</v>
      </c>
      <c r="B84" s="513"/>
      <c r="C84" s="513"/>
      <c r="D84" s="513"/>
      <c r="E84" s="513"/>
      <c r="F84" s="513"/>
      <c r="G84" s="514"/>
      <c r="H84" s="515">
        <f>(H47*'Study Information &amp; rates'!$B$101)</f>
        <v>0</v>
      </c>
      <c r="I84" s="516">
        <f>(I47*'Study Information &amp; rates'!$B$101)</f>
        <v>0</v>
      </c>
      <c r="J84" s="516">
        <f>(J47*'Study Information &amp; rates'!$B$101)</f>
        <v>0</v>
      </c>
      <c r="K84" s="516">
        <f>(K47*'Study Information &amp; rates'!$B$101)</f>
        <v>0</v>
      </c>
      <c r="L84" s="516">
        <f>(L47*'Study Information &amp; rates'!$B$101)</f>
        <v>0</v>
      </c>
      <c r="M84" s="516">
        <f>(M47*'Study Information &amp; rates'!$B$101)</f>
        <v>0</v>
      </c>
      <c r="N84" s="516">
        <f>(N47*'Study Information &amp; rates'!$B$101)</f>
        <v>0</v>
      </c>
      <c r="O84" s="516">
        <f>(O47*'Study Information &amp; rates'!$B$101)</f>
        <v>0</v>
      </c>
      <c r="P84" s="516">
        <f>(P47*'Study Information &amp; rates'!$B$101)</f>
        <v>0</v>
      </c>
      <c r="Q84" s="516">
        <f>(Q47*'Study Information &amp; rates'!$B$101)</f>
        <v>0</v>
      </c>
      <c r="R84" s="516">
        <f>(R47*'Study Information &amp; rates'!$B$101)</f>
        <v>0</v>
      </c>
      <c r="S84" s="516">
        <f>(S47*'Study Information &amp; rates'!$B$101)</f>
        <v>0</v>
      </c>
      <c r="T84" s="516">
        <f>(T47*'Study Information &amp; rates'!$B$101)</f>
        <v>0</v>
      </c>
      <c r="U84" s="516">
        <f>(U47*'Study Information &amp; rates'!$B$101)</f>
        <v>0</v>
      </c>
      <c r="V84" s="516">
        <f>(V47*'Study Information &amp; rates'!$B$101)</f>
        <v>0</v>
      </c>
      <c r="W84" s="516">
        <f>(W47*'Study Information &amp; rates'!$B$101)</f>
        <v>0</v>
      </c>
      <c r="X84" s="516">
        <f>(X47*'Study Information &amp; rates'!$B$101)</f>
        <v>0</v>
      </c>
      <c r="Y84" s="516">
        <f>(Y47*'Study Information &amp; rates'!$B$101)</f>
        <v>0</v>
      </c>
      <c r="Z84" s="516">
        <f>(Z47*'Study Information &amp; rates'!$B$101)</f>
        <v>0</v>
      </c>
      <c r="AA84" s="516">
        <f>(AA47*'Study Information &amp; rates'!$B$101)</f>
        <v>0</v>
      </c>
      <c r="AB84" s="516">
        <f>(AB47*'Study Information &amp; rates'!$B$101)</f>
        <v>0</v>
      </c>
      <c r="AC84" s="516">
        <f>(AC47*'Study Information &amp; rates'!$B$101)</f>
        <v>0</v>
      </c>
      <c r="AD84" s="516">
        <f>(AD47*'Study Information &amp; rates'!$B$101)</f>
        <v>0</v>
      </c>
      <c r="AE84" s="516">
        <f>(AE47*'Study Information &amp; rates'!$B$101)</f>
        <v>0</v>
      </c>
      <c r="AF84" s="516">
        <f>(AF47*'Study Information &amp; rates'!$B$101)</f>
        <v>0</v>
      </c>
      <c r="AG84" s="516">
        <f>(AG47*'Study Information &amp; rates'!$B$101)</f>
        <v>0</v>
      </c>
      <c r="AH84" s="516">
        <f>(AH47*'Study Information &amp; rates'!$B$101)</f>
        <v>0</v>
      </c>
      <c r="AI84" s="516">
        <f>(AI47*'Study Information &amp; rates'!$B$101)</f>
        <v>0</v>
      </c>
      <c r="AJ84" s="516">
        <f>(AJ47*'Study Information &amp; rates'!$B$101)</f>
        <v>0</v>
      </c>
      <c r="AK84" s="516">
        <f>(AK47*'Study Information &amp; rates'!$B$101)</f>
        <v>0</v>
      </c>
      <c r="AL84" s="516">
        <f>(AL47*'Study Information &amp; rates'!$B$101)</f>
        <v>0</v>
      </c>
      <c r="AM84" s="516">
        <f>(AM47*'Study Information &amp; rates'!$B$101)</f>
        <v>0</v>
      </c>
      <c r="AN84" s="516">
        <f>(AN47*'Study Information &amp; rates'!$B$101)</f>
        <v>0</v>
      </c>
      <c r="AO84" s="516">
        <f>(AO47*'Study Information &amp; rates'!$B$101)</f>
        <v>0</v>
      </c>
      <c r="AP84" s="516">
        <f>(AP47*'Study Information &amp; rates'!$B$101)</f>
        <v>0</v>
      </c>
      <c r="AQ84" s="473">
        <f>SUM(H84:AP84)</f>
        <v>0</v>
      </c>
      <c r="AR84" s="517">
        <f>SUM(H84:AP84)</f>
        <v>0</v>
      </c>
      <c r="AS84" s="510"/>
      <c r="AT84" s="510"/>
      <c r="AU84" s="510"/>
      <c r="AV84" s="510"/>
      <c r="BB84" s="469">
        <f>SUMIF($BH:$BH,1,$C:$C)+SUMIF($BJ:$BJ,1,$C:$C)</f>
        <v>0</v>
      </c>
      <c r="BC84" s="468">
        <f>BB84*'Study Information &amp; rates'!$B$101</f>
        <v>0</v>
      </c>
      <c r="BD84" s="449">
        <f>IF('Study Information &amp; rates'!$B$44='Study Information &amp; rates'!$V$12,BC84*0.287,0)</f>
        <v>0</v>
      </c>
      <c r="BE84" s="449">
        <f>IF(($AR$51*'Study Information &amp; rates'!$B$27)&gt;5000,BC84*0.05,0)</f>
        <v>0</v>
      </c>
      <c r="BF84" s="449">
        <f>BC84+BD84+BE84</f>
        <v>0</v>
      </c>
      <c r="BG84" s="183" t="b">
        <f>BF84=BF47</f>
        <v>1</v>
      </c>
    </row>
    <row r="85" spans="1:59" ht="13.5" thickBot="1">
      <c r="A85" s="512" t="s">
        <v>1973</v>
      </c>
      <c r="B85" s="518"/>
      <c r="C85" s="518"/>
      <c r="D85" s="518"/>
      <c r="E85" s="518"/>
      <c r="F85" s="518"/>
      <c r="G85" s="519"/>
      <c r="H85" s="515">
        <f>(H48*'Study Information &amp; rates'!$C$101)</f>
        <v>0</v>
      </c>
      <c r="I85" s="515">
        <f>(I48*'Study Information &amp; rates'!$C$101)</f>
        <v>0</v>
      </c>
      <c r="J85" s="515">
        <f>(J48*'Study Information &amp; rates'!$C$101)</f>
        <v>0</v>
      </c>
      <c r="K85" s="515">
        <f>(K48*'Study Information &amp; rates'!$C$101)</f>
        <v>0</v>
      </c>
      <c r="L85" s="515">
        <f>(L48*'Study Information &amp; rates'!$C$101)</f>
        <v>0</v>
      </c>
      <c r="M85" s="515">
        <f>(M48*'Study Information &amp; rates'!$C$101)</f>
        <v>0</v>
      </c>
      <c r="N85" s="515">
        <f>(N48*'Study Information &amp; rates'!$C$101)</f>
        <v>0</v>
      </c>
      <c r="O85" s="515">
        <f>(O48*'Study Information &amp; rates'!$C$101)</f>
        <v>0</v>
      </c>
      <c r="P85" s="515">
        <f>(P48*'Study Information &amp; rates'!$C$101)</f>
        <v>0</v>
      </c>
      <c r="Q85" s="515">
        <f>(Q48*'Study Information &amp; rates'!$C$101)</f>
        <v>0</v>
      </c>
      <c r="R85" s="515">
        <f>(R48*'Study Information &amp; rates'!$C$101)</f>
        <v>0</v>
      </c>
      <c r="S85" s="515">
        <f>(S48*'Study Information &amp; rates'!$C$101)</f>
        <v>0</v>
      </c>
      <c r="T85" s="515">
        <f>(T48*'Study Information &amp; rates'!$C$101)</f>
        <v>0</v>
      </c>
      <c r="U85" s="515">
        <f>(U48*'Study Information &amp; rates'!$C$101)</f>
        <v>0</v>
      </c>
      <c r="V85" s="515">
        <f>(V48*'Study Information &amp; rates'!$C$101)</f>
        <v>0</v>
      </c>
      <c r="W85" s="515">
        <f>(W48*'Study Information &amp; rates'!$C$101)</f>
        <v>0</v>
      </c>
      <c r="X85" s="515">
        <f>(X48*'Study Information &amp; rates'!$C$101)</f>
        <v>0</v>
      </c>
      <c r="Y85" s="515">
        <f>(Y48*'Study Information &amp; rates'!$C$101)</f>
        <v>0</v>
      </c>
      <c r="Z85" s="515">
        <f>(Z48*'Study Information &amp; rates'!$C$101)</f>
        <v>0</v>
      </c>
      <c r="AA85" s="515">
        <f>(AA48*'Study Information &amp; rates'!$C$101)</f>
        <v>0</v>
      </c>
      <c r="AB85" s="515">
        <f>(AB48*'Study Information &amp; rates'!$C$101)</f>
        <v>0</v>
      </c>
      <c r="AC85" s="515">
        <f>(AC48*'Study Information &amp; rates'!$C$101)</f>
        <v>0</v>
      </c>
      <c r="AD85" s="515">
        <f>(AD48*'Study Information &amp; rates'!$C$101)</f>
        <v>0</v>
      </c>
      <c r="AE85" s="515">
        <f>(AE48*'Study Information &amp; rates'!$C$101)</f>
        <v>0</v>
      </c>
      <c r="AF85" s="515">
        <f>(AF48*'Study Information &amp; rates'!$C$101)</f>
        <v>0</v>
      </c>
      <c r="AG85" s="515">
        <f>(AG48*'Study Information &amp; rates'!$C$101)</f>
        <v>0</v>
      </c>
      <c r="AH85" s="515">
        <f>(AH48*'Study Information &amp; rates'!$C$101)</f>
        <v>0</v>
      </c>
      <c r="AI85" s="515">
        <f>(AI48*'Study Information &amp; rates'!$C$101)</f>
        <v>0</v>
      </c>
      <c r="AJ85" s="515">
        <f>(AJ48*'Study Information &amp; rates'!$C$101)</f>
        <v>0</v>
      </c>
      <c r="AK85" s="515">
        <f>(AK48*'Study Information &amp; rates'!$C$101)</f>
        <v>0</v>
      </c>
      <c r="AL85" s="515">
        <f>(AL48*'Study Information &amp; rates'!$C$101)</f>
        <v>0</v>
      </c>
      <c r="AM85" s="515">
        <f>(AM48*'Study Information &amp; rates'!$C$101)</f>
        <v>0</v>
      </c>
      <c r="AN85" s="515">
        <f>(AN48*'Study Information &amp; rates'!$C$101)</f>
        <v>0</v>
      </c>
      <c r="AO85" s="515">
        <f>(AO48*'Study Information &amp; rates'!$C$101)</f>
        <v>0</v>
      </c>
      <c r="AP85" s="515">
        <f>(AP48*'Study Information &amp; rates'!$C$101)</f>
        <v>0</v>
      </c>
      <c r="AQ85" s="473">
        <f>SUM(H85:AP85)</f>
        <v>0</v>
      </c>
      <c r="AR85" s="440">
        <f>'Set-up and other costs'!$B$18*'Per patient Arm 1'!AQ85</f>
        <v>0</v>
      </c>
      <c r="AS85" s="510"/>
      <c r="AT85" s="510"/>
      <c r="AU85" s="510"/>
      <c r="AV85" s="510"/>
      <c r="BB85" s="469">
        <f>SUMIF($BH:$BH,1,$D:$D)+SUMIF($BJ:$BJ,1,$D:$D)</f>
        <v>0</v>
      </c>
      <c r="BC85" s="468">
        <f>BB85*'Study Information &amp; rates'!$C$101</f>
        <v>0</v>
      </c>
      <c r="BD85" s="449">
        <f>IF('Study Information &amp; rates'!$B$44='Study Information &amp; rates'!$V$12,BC85*0.287,0)</f>
        <v>0</v>
      </c>
      <c r="BE85" s="449">
        <f>IF(($AR$51*'Study Information &amp; rates'!$B$27)&gt;5000,BC85*0.05,0)</f>
        <v>0</v>
      </c>
      <c r="BF85" s="449">
        <f>BC85+BD85+BE85</f>
        <v>0</v>
      </c>
      <c r="BG85" s="183" t="b">
        <f>BF85=BF48</f>
        <v>1</v>
      </c>
    </row>
    <row r="86" spans="1:59" ht="13.5" thickBot="1">
      <c r="A86" s="520" t="s">
        <v>47</v>
      </c>
      <c r="B86" s="518"/>
      <c r="C86" s="518"/>
      <c r="D86" s="518"/>
      <c r="E86" s="518"/>
      <c r="F86" s="518"/>
      <c r="G86" s="519"/>
      <c r="H86" s="521">
        <f>(H49*'Study Information &amp; rates'!$D$101)</f>
        <v>0</v>
      </c>
      <c r="I86" s="522">
        <f>(I49*'Study Information &amp; rates'!$D$101)</f>
        <v>0</v>
      </c>
      <c r="J86" s="522">
        <f>(J49*'Study Information &amp; rates'!$D$101)</f>
        <v>0</v>
      </c>
      <c r="K86" s="522">
        <f>(K49*'Study Information &amp; rates'!$D$101)</f>
        <v>0</v>
      </c>
      <c r="L86" s="522">
        <f>(L49*'Study Information &amp; rates'!$D$101)</f>
        <v>0</v>
      </c>
      <c r="M86" s="522">
        <f>(M49*'Study Information &amp; rates'!$D$101)</f>
        <v>0</v>
      </c>
      <c r="N86" s="522">
        <f>(N49*'Study Information &amp; rates'!$D$101)</f>
        <v>0</v>
      </c>
      <c r="O86" s="522">
        <f>(O49*'Study Information &amp; rates'!$D$101)</f>
        <v>0</v>
      </c>
      <c r="P86" s="522">
        <f>(P49*'Study Information &amp; rates'!$D$101)</f>
        <v>0</v>
      </c>
      <c r="Q86" s="522">
        <f>(Q49*'Study Information &amp; rates'!$D$101)</f>
        <v>0</v>
      </c>
      <c r="R86" s="522">
        <f>(R49*'Study Information &amp; rates'!$D$101)</f>
        <v>0</v>
      </c>
      <c r="S86" s="522">
        <f>(S49*'Study Information &amp; rates'!$D$101)</f>
        <v>0</v>
      </c>
      <c r="T86" s="522">
        <f>(T49*'Study Information &amp; rates'!$D$101)</f>
        <v>0</v>
      </c>
      <c r="U86" s="522">
        <f>(U49*'Study Information &amp; rates'!$D$101)</f>
        <v>0</v>
      </c>
      <c r="V86" s="522">
        <f>(V49*'Study Information &amp; rates'!$D$101)</f>
        <v>0</v>
      </c>
      <c r="W86" s="522">
        <f>(W49*'Study Information &amp; rates'!$D$101)</f>
        <v>0</v>
      </c>
      <c r="X86" s="522">
        <f>(X49*'Study Information &amp; rates'!$D$101)</f>
        <v>0</v>
      </c>
      <c r="Y86" s="522">
        <f>(Y49*'Study Information &amp; rates'!$D$101)</f>
        <v>0</v>
      </c>
      <c r="Z86" s="522">
        <f>(Z49*'Study Information &amp; rates'!$D$101)</f>
        <v>0</v>
      </c>
      <c r="AA86" s="522">
        <f>(AA49*'Study Information &amp; rates'!$D$101)</f>
        <v>0</v>
      </c>
      <c r="AB86" s="522">
        <f>(AB49*'Study Information &amp; rates'!$D$101)</f>
        <v>0</v>
      </c>
      <c r="AC86" s="522">
        <f>(AC49*'Study Information &amp; rates'!$D$101)</f>
        <v>0</v>
      </c>
      <c r="AD86" s="522">
        <f>(AD49*'Study Information &amp; rates'!$D$101)</f>
        <v>0</v>
      </c>
      <c r="AE86" s="522">
        <f>(AE49*'Study Information &amp; rates'!$D$101)</f>
        <v>0</v>
      </c>
      <c r="AF86" s="522">
        <f>(AF49*'Study Information &amp; rates'!$D$101)</f>
        <v>0</v>
      </c>
      <c r="AG86" s="522">
        <f>(AG49*'Study Information &amp; rates'!$D$101)</f>
        <v>0</v>
      </c>
      <c r="AH86" s="522">
        <f>(AH49*'Study Information &amp; rates'!$D$101)</f>
        <v>0</v>
      </c>
      <c r="AI86" s="522">
        <f>(AI49*'Study Information &amp; rates'!$D$101)</f>
        <v>0</v>
      </c>
      <c r="AJ86" s="522">
        <f>(AJ49*'Study Information &amp; rates'!$D$101)</f>
        <v>0</v>
      </c>
      <c r="AK86" s="522">
        <f>(AK49*'Study Information &amp; rates'!$D$101)</f>
        <v>0</v>
      </c>
      <c r="AL86" s="522">
        <f>(AL49*'Study Information &amp; rates'!$D$101)</f>
        <v>0</v>
      </c>
      <c r="AM86" s="522">
        <f>(AM49*'Study Information &amp; rates'!$D$101)</f>
        <v>0</v>
      </c>
      <c r="AN86" s="522">
        <f>(AN49*'Study Information &amp; rates'!$D$101)</f>
        <v>0</v>
      </c>
      <c r="AO86" s="522">
        <f>(AO49*'Study Information &amp; rates'!$D$101)</f>
        <v>0</v>
      </c>
      <c r="AP86" s="522">
        <f>(AP49*'Study Information &amp; rates'!$D$101)</f>
        <v>0</v>
      </c>
      <c r="AQ86" s="473">
        <f>SUM(H86:AP86)</f>
        <v>0</v>
      </c>
      <c r="AR86" s="440">
        <f>'Set-up and other costs'!$B$18*'Per patient Arm 1'!AQ86</f>
        <v>0</v>
      </c>
      <c r="AS86" s="510"/>
      <c r="AT86" s="510"/>
      <c r="AU86" s="510"/>
      <c r="AV86" s="510"/>
      <c r="BB86" s="469">
        <f>SUMIF($BH:$BH,1,$E:$E)+SUMIF($BJ:$BJ,1,$E:$E)</f>
        <v>0</v>
      </c>
      <c r="BC86" s="468">
        <f>BB86*'Study Information &amp; rates'!$D$101</f>
        <v>0</v>
      </c>
      <c r="BD86" s="449">
        <f>IF('Study Information &amp; rates'!$B$44='Study Information &amp; rates'!$V$12,BC86*0.287,0)</f>
        <v>0</v>
      </c>
      <c r="BE86" s="449">
        <f>IF(($AR$51*'Study Information &amp; rates'!$B$27)&gt;5000,BC86*0.05,0)</f>
        <v>0</v>
      </c>
      <c r="BF86" s="449">
        <f>BC86+BD86+BE86</f>
        <v>0</v>
      </c>
      <c r="BG86" s="183" t="b">
        <f>BF86=BF49</f>
        <v>1</v>
      </c>
    </row>
    <row r="87" spans="1:59" ht="13.5" thickBot="1">
      <c r="A87" s="523" t="s">
        <v>48</v>
      </c>
      <c r="B87" s="518"/>
      <c r="C87" s="518"/>
      <c r="D87" s="518"/>
      <c r="E87" s="518"/>
      <c r="F87" s="518"/>
      <c r="G87" s="519"/>
      <c r="H87" s="524">
        <f>(H50*'Study Information &amp; rates'!$F$101)</f>
        <v>0</v>
      </c>
      <c r="I87" s="525">
        <f>(I50*'Study Information &amp; rates'!$F$101)</f>
        <v>0</v>
      </c>
      <c r="J87" s="525">
        <f>(J50*'Study Information &amp; rates'!$F$101)</f>
        <v>0</v>
      </c>
      <c r="K87" s="525">
        <f>(K50*'Study Information &amp; rates'!$F$101)</f>
        <v>0</v>
      </c>
      <c r="L87" s="525">
        <f>(L50*'Study Information &amp; rates'!$F$101)</f>
        <v>0</v>
      </c>
      <c r="M87" s="525">
        <f>(M50*'Study Information &amp; rates'!$F$101)</f>
        <v>0</v>
      </c>
      <c r="N87" s="525">
        <f>(N50*'Study Information &amp; rates'!$F$101)</f>
        <v>0</v>
      </c>
      <c r="O87" s="525">
        <f>(O50*'Study Information &amp; rates'!$F$101)</f>
        <v>0</v>
      </c>
      <c r="P87" s="525">
        <f>(P50*'Study Information &amp; rates'!$F$101)</f>
        <v>0</v>
      </c>
      <c r="Q87" s="525">
        <f>(Q50*'Study Information &amp; rates'!$F$101)</f>
        <v>0</v>
      </c>
      <c r="R87" s="525">
        <f>(R50*'Study Information &amp; rates'!$F$101)</f>
        <v>0</v>
      </c>
      <c r="S87" s="525">
        <f>(S50*'Study Information &amp; rates'!$F$101)</f>
        <v>0</v>
      </c>
      <c r="T87" s="525">
        <f>(T50*'Study Information &amp; rates'!$F$101)</f>
        <v>0</v>
      </c>
      <c r="U87" s="525">
        <f>(U50*'Study Information &amp; rates'!$F$101)</f>
        <v>0</v>
      </c>
      <c r="V87" s="525">
        <f>(V50*'Study Information &amp; rates'!$F$101)</f>
        <v>0</v>
      </c>
      <c r="W87" s="525">
        <f>(W50*'Study Information &amp; rates'!$F$101)</f>
        <v>0</v>
      </c>
      <c r="X87" s="525">
        <f>(X50*'Study Information &amp; rates'!$F$101)</f>
        <v>0</v>
      </c>
      <c r="Y87" s="525">
        <f>(Y50*'Study Information &amp; rates'!$F$101)</f>
        <v>0</v>
      </c>
      <c r="Z87" s="525">
        <f>(Z50*'Study Information &amp; rates'!$F$101)</f>
        <v>0</v>
      </c>
      <c r="AA87" s="525">
        <f>(AA50*'Study Information &amp; rates'!$F$101)</f>
        <v>0</v>
      </c>
      <c r="AB87" s="525">
        <f>(AB50*'Study Information &amp; rates'!$F$101)</f>
        <v>0</v>
      </c>
      <c r="AC87" s="525">
        <f>(AC50*'Study Information &amp; rates'!$F$101)</f>
        <v>0</v>
      </c>
      <c r="AD87" s="525">
        <f>(AD50*'Study Information &amp; rates'!$F$101)</f>
        <v>0</v>
      </c>
      <c r="AE87" s="525">
        <f>(AE50*'Study Information &amp; rates'!$F$101)</f>
        <v>0</v>
      </c>
      <c r="AF87" s="525">
        <f>(AF50*'Study Information &amp; rates'!$F$101)</f>
        <v>0</v>
      </c>
      <c r="AG87" s="525">
        <f>(AG50*'Study Information &amp; rates'!$F$101)</f>
        <v>0</v>
      </c>
      <c r="AH87" s="525">
        <f>(AH50*'Study Information &amp; rates'!$F$101)</f>
        <v>0</v>
      </c>
      <c r="AI87" s="525">
        <f>(AI50*'Study Information &amp; rates'!$F$101)</f>
        <v>0</v>
      </c>
      <c r="AJ87" s="525">
        <f>(AJ50*'Study Information &amp; rates'!$F$101)</f>
        <v>0</v>
      </c>
      <c r="AK87" s="525">
        <f>(AK50*'Study Information &amp; rates'!$F$101)</f>
        <v>0</v>
      </c>
      <c r="AL87" s="525">
        <f>(AL50*'Study Information &amp; rates'!$F$101)</f>
        <v>0</v>
      </c>
      <c r="AM87" s="525">
        <f>(AM50*'Study Information &amp; rates'!$F$101)</f>
        <v>0</v>
      </c>
      <c r="AN87" s="525">
        <f>(AN50*'Study Information &amp; rates'!$F$101)</f>
        <v>0</v>
      </c>
      <c r="AO87" s="525">
        <f>(AO50*'Study Information &amp; rates'!$F$101)</f>
        <v>0</v>
      </c>
      <c r="AP87" s="525">
        <f>(AP50*'Study Information &amp; rates'!$F$101)</f>
        <v>0</v>
      </c>
      <c r="AQ87" s="473">
        <f>SUM(H87:AP87)</f>
        <v>0</v>
      </c>
      <c r="AR87" s="440">
        <f>'Set-up and other costs'!$B$18*'Per patient Arm 1'!AQ87</f>
        <v>0</v>
      </c>
      <c r="AS87" s="510"/>
      <c r="AT87" s="510"/>
      <c r="AU87" s="510"/>
      <c r="AV87" s="510"/>
      <c r="BB87" s="469">
        <f>SUMIF($BH:$BH,1,$F:$F)+SUMIF($BJ:$BJ,1,$F:$F)</f>
        <v>0</v>
      </c>
      <c r="BC87" s="468">
        <f>BB87*'Study Information &amp; rates'!$F$101</f>
        <v>0</v>
      </c>
      <c r="BD87" s="449">
        <f>IF('Study Information &amp; rates'!$B$44='Study Information &amp; rates'!$V$12,BC87*0.287,0)</f>
        <v>0</v>
      </c>
      <c r="BE87" s="449">
        <f>IF(($AR$51*'Study Information &amp; rates'!$B$27)&gt;5000,BC87*0.05,0)</f>
        <v>0</v>
      </c>
      <c r="BF87" s="449">
        <f>BC87+BD87+BE87</f>
        <v>0</v>
      </c>
      <c r="BG87" s="183" t="b">
        <f>BF87=BF50</f>
        <v>1</v>
      </c>
    </row>
    <row r="88" spans="1:58" ht="13.5" thickBot="1">
      <c r="A88" s="526" t="s">
        <v>49</v>
      </c>
      <c r="B88" s="527"/>
      <c r="C88" s="527"/>
      <c r="D88" s="527"/>
      <c r="E88" s="527"/>
      <c r="F88" s="527"/>
      <c r="G88" s="528"/>
      <c r="H88" s="529">
        <f>SUMPRODUCT($G$55:$G$80,H55:H80)</f>
        <v>0</v>
      </c>
      <c r="I88" s="530">
        <f>SUMPRODUCT($G$55:$G$80,I55:I80)</f>
        <v>0</v>
      </c>
      <c r="J88" s="530">
        <f>SUMPRODUCT($G$55:$G$80,J55:J80)</f>
        <v>0</v>
      </c>
      <c r="K88" s="530">
        <f>SUMPRODUCT($G$55:$G$80,K55:K80)</f>
        <v>0</v>
      </c>
      <c r="L88" s="530">
        <f>SUMPRODUCT($G$55:$G$80,L55:L80)</f>
        <v>0</v>
      </c>
      <c r="M88" s="530">
        <f>SUMPRODUCT($G$55:$G$80,M55:M80)</f>
        <v>0</v>
      </c>
      <c r="N88" s="530">
        <f>SUMPRODUCT($G$55:$G$80,N55:N80)</f>
        <v>0</v>
      </c>
      <c r="O88" s="530">
        <f>SUMPRODUCT($G$55:$G$80,O55:O80)</f>
        <v>0</v>
      </c>
      <c r="P88" s="530">
        <f>SUMPRODUCT($G$55:$G$80,P55:P80)</f>
        <v>0</v>
      </c>
      <c r="Q88" s="530">
        <f>SUMPRODUCT($G$55:$G$80,Q55:Q80)</f>
        <v>0</v>
      </c>
      <c r="R88" s="530">
        <f>SUMPRODUCT($G$55:$G$80,R55:R80)</f>
        <v>0</v>
      </c>
      <c r="S88" s="530">
        <f>SUMPRODUCT($G$55:$G$80,S55:S80)</f>
        <v>0</v>
      </c>
      <c r="T88" s="530">
        <f>SUMPRODUCT($G$55:$G$80,T55:T80)</f>
        <v>0</v>
      </c>
      <c r="U88" s="530">
        <f>SUMPRODUCT($G$55:$G$80,U55:U80)</f>
        <v>0</v>
      </c>
      <c r="V88" s="530">
        <f>SUMPRODUCT($G$55:$G$80,V55:V80)</f>
        <v>0</v>
      </c>
      <c r="W88" s="530">
        <f>SUMPRODUCT($G$55:$G$80,W55:W80)</f>
        <v>0</v>
      </c>
      <c r="X88" s="530">
        <f>SUMPRODUCT($G$55:$G$80,X55:X80)</f>
        <v>0</v>
      </c>
      <c r="Y88" s="530">
        <f>SUMPRODUCT($G$55:$G$80,Y55:Y80)</f>
        <v>0</v>
      </c>
      <c r="Z88" s="530">
        <f>SUMPRODUCT($G$55:$G$80,Z55:Z80)</f>
        <v>0</v>
      </c>
      <c r="AA88" s="530">
        <f>SUMPRODUCT($G$55:$G$80,AA55:AA80)</f>
        <v>0</v>
      </c>
      <c r="AB88" s="530">
        <f>SUMPRODUCT($G$55:$G$80,AB55:AB80)</f>
        <v>0</v>
      </c>
      <c r="AC88" s="530">
        <f>SUMPRODUCT($G$55:$G$80,AC55:AC80)</f>
        <v>0</v>
      </c>
      <c r="AD88" s="530">
        <f>SUMPRODUCT($G$55:$G$80,AD55:AD80)</f>
        <v>0</v>
      </c>
      <c r="AE88" s="530">
        <f>SUMPRODUCT($G$55:$G$80,AE55:AE80)</f>
        <v>0</v>
      </c>
      <c r="AF88" s="530">
        <f>SUMPRODUCT($G$55:$G$80,AF55:AF80)</f>
        <v>0</v>
      </c>
      <c r="AG88" s="530">
        <f>SUMPRODUCT($G$55:$G$80,AG55:AG80)</f>
        <v>0</v>
      </c>
      <c r="AH88" s="530">
        <f>SUMPRODUCT($G$55:$G$80,AH55:AH80)</f>
        <v>0</v>
      </c>
      <c r="AI88" s="530">
        <f>SUMPRODUCT($G$55:$G$80,AI55:AI80)</f>
        <v>0</v>
      </c>
      <c r="AJ88" s="530">
        <f>SUMPRODUCT($G$55:$G$80,AJ55:AJ80)</f>
        <v>0</v>
      </c>
      <c r="AK88" s="530">
        <f>SUMPRODUCT($G$55:$G$80,AK55:AK80)</f>
        <v>0</v>
      </c>
      <c r="AL88" s="530">
        <f>SUMPRODUCT($G$55:$G$80,AL55:AL80)</f>
        <v>0</v>
      </c>
      <c r="AM88" s="530">
        <f>SUMPRODUCT($G$55:$G$80,AM55:AM80)</f>
        <v>0</v>
      </c>
      <c r="AN88" s="530">
        <f>SUMPRODUCT($G$55:$G$80,AN55:AN80)</f>
        <v>0</v>
      </c>
      <c r="AO88" s="530">
        <f>SUMPRODUCT($G$55:$G$80,AO55:AO80)</f>
        <v>0</v>
      </c>
      <c r="AP88" s="530">
        <f>SUMPRODUCT($G$55:$G$80,AP55:AP80)</f>
        <v>0</v>
      </c>
      <c r="AQ88" s="473">
        <f>SUM(H88:AP88)</f>
        <v>0</v>
      </c>
      <c r="AR88" s="440">
        <f>'Set-up and other costs'!$B$18*'Per patient Arm 1'!AQ88</f>
        <v>0</v>
      </c>
      <c r="AS88" s="510"/>
      <c r="AT88" s="510"/>
      <c r="AU88" s="510"/>
      <c r="AV88" s="510"/>
      <c r="BB88" s="469">
        <f>SUMIF($BH55:$BH80,1,G55:G80)+SUMIF($BJ55:$BJ80,1,G55:G80)</f>
        <v>0</v>
      </c>
      <c r="BF88" s="449">
        <f>BB88</f>
        <v>0</v>
      </c>
    </row>
    <row r="89" spans="1:58" ht="13.5" thickBot="1">
      <c r="A89" s="547"/>
      <c r="B89" s="518"/>
      <c r="C89" s="518"/>
      <c r="D89" s="518"/>
      <c r="E89" s="518"/>
      <c r="F89" s="518"/>
      <c r="G89" s="518"/>
      <c r="H89" s="548"/>
      <c r="I89" s="548"/>
      <c r="J89" s="548"/>
      <c r="K89" s="548"/>
      <c r="L89" s="548"/>
      <c r="M89" s="548"/>
      <c r="N89" s="548"/>
      <c r="O89" s="548"/>
      <c r="P89" s="548"/>
      <c r="Q89" s="548"/>
      <c r="R89" s="548"/>
      <c r="S89" s="548"/>
      <c r="T89" s="548"/>
      <c r="U89" s="548"/>
      <c r="V89" s="548"/>
      <c r="W89" s="548"/>
      <c r="X89" s="548"/>
      <c r="Y89" s="548"/>
      <c r="Z89" s="548"/>
      <c r="AA89" s="548"/>
      <c r="AB89" s="548"/>
      <c r="AC89" s="548"/>
      <c r="AD89" s="548"/>
      <c r="AE89" s="548"/>
      <c r="AF89" s="548"/>
      <c r="AG89" s="548"/>
      <c r="AH89" s="548"/>
      <c r="AI89" s="548"/>
      <c r="AJ89" s="548"/>
      <c r="AK89" s="548"/>
      <c r="AL89" s="548"/>
      <c r="AM89" s="548"/>
      <c r="AN89" s="548"/>
      <c r="AO89" s="548"/>
      <c r="AP89" s="548"/>
      <c r="AQ89" s="549"/>
      <c r="AR89" s="550"/>
      <c r="AS89" s="510"/>
      <c r="AT89" s="510"/>
      <c r="AU89" s="510"/>
      <c r="AV89" s="510"/>
      <c r="BB89" s="551"/>
      <c r="BF89" s="552"/>
    </row>
    <row r="90" spans="1:48" ht="13.5" hidden="1" thickBot="1">
      <c r="A90" s="510"/>
      <c r="B90" s="510"/>
      <c r="C90" s="510"/>
      <c r="D90" s="510"/>
      <c r="E90" s="510"/>
      <c r="F90" s="510"/>
      <c r="G90" s="510"/>
      <c r="H90" s="511">
        <f>SUM(H84:H88)</f>
        <v>0</v>
      </c>
      <c r="I90" s="511">
        <f>SUM(I84:I88)</f>
        <v>0</v>
      </c>
      <c r="J90" s="511">
        <f>SUM(J84:J88)</f>
        <v>0</v>
      </c>
      <c r="K90" s="511">
        <f>SUM(K84:K88)</f>
        <v>0</v>
      </c>
      <c r="L90" s="511">
        <f>SUM(L84:L88)</f>
        <v>0</v>
      </c>
      <c r="M90" s="511">
        <f>SUM(M84:M88)</f>
        <v>0</v>
      </c>
      <c r="N90" s="511">
        <f>SUM(N84:N88)</f>
        <v>0</v>
      </c>
      <c r="O90" s="511">
        <f>SUM(O84:O88)</f>
        <v>0</v>
      </c>
      <c r="P90" s="511">
        <f>SUM(P84:P88)</f>
        <v>0</v>
      </c>
      <c r="Q90" s="511">
        <f>SUM(Q84:Q88)</f>
        <v>0</v>
      </c>
      <c r="R90" s="511">
        <f>SUM(R84:R88)</f>
        <v>0</v>
      </c>
      <c r="S90" s="511">
        <f>SUM(S84:S88)</f>
        <v>0</v>
      </c>
      <c r="T90" s="511">
        <f>SUM(T84:T88)</f>
        <v>0</v>
      </c>
      <c r="U90" s="511">
        <f>SUM(U84:U88)</f>
        <v>0</v>
      </c>
      <c r="V90" s="511">
        <f>SUM(V84:V88)</f>
        <v>0</v>
      </c>
      <c r="W90" s="511">
        <f>SUM(W84:W88)</f>
        <v>0</v>
      </c>
      <c r="X90" s="511">
        <f>SUM(X84:X88)</f>
        <v>0</v>
      </c>
      <c r="Y90" s="511">
        <f>SUM(Y84:Y88)</f>
        <v>0</v>
      </c>
      <c r="Z90" s="511">
        <f>SUM(Z84:Z88)</f>
        <v>0</v>
      </c>
      <c r="AA90" s="511">
        <f>SUM(AA84:AA88)</f>
        <v>0</v>
      </c>
      <c r="AB90" s="511">
        <f>SUM(AB84:AB88)</f>
        <v>0</v>
      </c>
      <c r="AC90" s="511">
        <f>SUM(AC84:AC88)</f>
        <v>0</v>
      </c>
      <c r="AD90" s="511">
        <f>SUM(AD84:AD88)</f>
        <v>0</v>
      </c>
      <c r="AE90" s="511">
        <f>SUM(AE84:AE88)</f>
        <v>0</v>
      </c>
      <c r="AF90" s="511">
        <f>SUM(AF84:AF88)</f>
        <v>0</v>
      </c>
      <c r="AG90" s="511">
        <f>SUM(AG84:AG88)</f>
        <v>0</v>
      </c>
      <c r="AH90" s="511">
        <f>SUM(AH84:AH88)</f>
        <v>0</v>
      </c>
      <c r="AI90" s="511">
        <f>SUM(AI84:AI88)</f>
        <v>0</v>
      </c>
      <c r="AJ90" s="511">
        <f>SUM(AJ84:AJ88)</f>
        <v>0</v>
      </c>
      <c r="AK90" s="511">
        <f>SUM(AK84:AK88)</f>
        <v>0</v>
      </c>
      <c r="AL90" s="511">
        <f>SUM(AL84:AL88)</f>
        <v>0</v>
      </c>
      <c r="AM90" s="511">
        <f>SUM(AM84:AM88)</f>
        <v>0</v>
      </c>
      <c r="AN90" s="511">
        <f>SUM(AN84:AN88)</f>
        <v>0</v>
      </c>
      <c r="AO90" s="511">
        <f>SUM(AO84:AO88)</f>
        <v>0</v>
      </c>
      <c r="AP90" s="511">
        <f>SUM(AP84:AP88)</f>
        <v>0</v>
      </c>
      <c r="AQ90" s="435">
        <f>SUM(AQ84:AQ88)</f>
        <v>0</v>
      </c>
      <c r="AR90" s="510"/>
      <c r="AS90" s="510"/>
      <c r="AT90" s="510"/>
      <c r="AU90" s="510"/>
      <c r="AV90" s="510"/>
    </row>
    <row r="91" spans="1:59" ht="26.5" thickBot="1">
      <c r="A91" s="531" t="s">
        <v>53</v>
      </c>
      <c r="B91" s="527"/>
      <c r="C91" s="527"/>
      <c r="D91" s="527"/>
      <c r="E91" s="527"/>
      <c r="F91" s="527"/>
      <c r="G91" s="528"/>
      <c r="H91" s="530">
        <f>IF('Study Information &amp; rates'!$B$44="No",SUM('Per patient Arm 1'!H84,'Per patient Arm 1'!H85,'Per patient Arm 1'!H86,'Per patient Arm 1'!H87,'Per patient Arm 1'!H88),(0.337*H90)+H90)</f>
        <v>0</v>
      </c>
      <c r="I91" s="530">
        <f>IF('Study Information &amp; rates'!$B$44="No",SUM('Per patient Arm 1'!I84,'Per patient Arm 1'!I85,'Per patient Arm 1'!I86,'Per patient Arm 1'!I87,'Per patient Arm 1'!I88),(0.337*I90)+I90)</f>
        <v>0</v>
      </c>
      <c r="J91" s="530">
        <f>IF('Study Information &amp; rates'!$B$44="No",SUM('Per patient Arm 1'!J84,'Per patient Arm 1'!J85,'Per patient Arm 1'!J86,'Per patient Arm 1'!J87,'Per patient Arm 1'!J88),(0.337*J90)+J90)</f>
        <v>0</v>
      </c>
      <c r="K91" s="530">
        <f>IF('Study Information &amp; rates'!$B$44="No",SUM('Per patient Arm 1'!K84,'Per patient Arm 1'!K85,'Per patient Arm 1'!K86,'Per patient Arm 1'!K87,'Per patient Arm 1'!K88),(0.337*K90)+K90)</f>
        <v>0</v>
      </c>
      <c r="L91" s="530">
        <f>IF('Study Information &amp; rates'!$B$44="No",SUM('Per patient Arm 1'!L84,'Per patient Arm 1'!L85,'Per patient Arm 1'!L86,'Per patient Arm 1'!L87,'Per patient Arm 1'!L88),(0.337*L90)+L90)</f>
        <v>0</v>
      </c>
      <c r="M91" s="530">
        <f>IF('Study Information &amp; rates'!$B$44="No",SUM('Per patient Arm 1'!M84,'Per patient Arm 1'!M85,'Per patient Arm 1'!M86,'Per patient Arm 1'!M87,'Per patient Arm 1'!M88),(0.337*M90)+M90)</f>
        <v>0</v>
      </c>
      <c r="N91" s="530">
        <f>IF('Study Information &amp; rates'!$B$44="No",SUM('Per patient Arm 1'!N84,'Per patient Arm 1'!N85,'Per patient Arm 1'!N86,'Per patient Arm 1'!N87,'Per patient Arm 1'!N88),(0.337*N90)+N90)</f>
        <v>0</v>
      </c>
      <c r="O91" s="530">
        <f>IF('Study Information &amp; rates'!$B$44="No",SUM('Per patient Arm 1'!O84,'Per patient Arm 1'!O85,'Per patient Arm 1'!O86,'Per patient Arm 1'!O87,'Per patient Arm 1'!O88),(0.337*O90)+O90)</f>
        <v>0</v>
      </c>
      <c r="P91" s="530">
        <f>IF('Study Information &amp; rates'!$B$44="No",SUM('Per patient Arm 1'!P84,'Per patient Arm 1'!P85,'Per patient Arm 1'!P86,'Per patient Arm 1'!P87,'Per patient Arm 1'!P88),(0.337*P90)+P90)</f>
        <v>0</v>
      </c>
      <c r="Q91" s="530">
        <f>IF('Study Information &amp; rates'!$B$44="No",SUM('Per patient Arm 1'!Q84,'Per patient Arm 1'!Q85,'Per patient Arm 1'!Q86,'Per patient Arm 1'!Q87,'Per patient Arm 1'!Q88),(0.337*Q90)+Q90)</f>
        <v>0</v>
      </c>
      <c r="R91" s="530">
        <f>IF('Study Information &amp; rates'!$B$44="No",SUM('Per patient Arm 1'!R84,'Per patient Arm 1'!R85,'Per patient Arm 1'!R86,'Per patient Arm 1'!R87,'Per patient Arm 1'!R88),(0.337*R90)+R90)</f>
        <v>0</v>
      </c>
      <c r="S91" s="530">
        <f>IF('Study Information &amp; rates'!$B$44="No",SUM('Per patient Arm 1'!S84,'Per patient Arm 1'!S85,'Per patient Arm 1'!S86,'Per patient Arm 1'!S87,'Per patient Arm 1'!S88),(0.337*S90)+S90)</f>
        <v>0</v>
      </c>
      <c r="T91" s="530">
        <f>IF('Study Information &amp; rates'!$B$44="No",SUM('Per patient Arm 1'!T84,'Per patient Arm 1'!T85,'Per patient Arm 1'!T86,'Per patient Arm 1'!T87,'Per patient Arm 1'!T88),(0.337*T90)+T90)</f>
        <v>0</v>
      </c>
      <c r="U91" s="530">
        <f>IF('Study Information &amp; rates'!$B$44="No",SUM('Per patient Arm 1'!U84,'Per patient Arm 1'!U85,'Per patient Arm 1'!U86,'Per patient Arm 1'!U87,'Per patient Arm 1'!U88),(0.337*U90)+U90)</f>
        <v>0</v>
      </c>
      <c r="V91" s="530">
        <f>IF('Study Information &amp; rates'!$B$44="No",SUM('Per patient Arm 1'!V84,'Per patient Arm 1'!V85,'Per patient Arm 1'!V86,'Per patient Arm 1'!V87,'Per patient Arm 1'!V88),(0.337*V90)+V90)</f>
        <v>0</v>
      </c>
      <c r="W91" s="530">
        <f>IF('Study Information &amp; rates'!$B$44="No",SUM('Per patient Arm 1'!W84,'Per patient Arm 1'!W85,'Per patient Arm 1'!W86,'Per patient Arm 1'!W87,'Per patient Arm 1'!W88),(0.337*W90)+W90)</f>
        <v>0</v>
      </c>
      <c r="X91" s="530">
        <f>IF('Study Information &amp; rates'!$B$44="No",SUM('Per patient Arm 1'!X84,'Per patient Arm 1'!X85,'Per patient Arm 1'!X86,'Per patient Arm 1'!X87,'Per patient Arm 1'!X88),(0.337*X90)+X90)</f>
        <v>0</v>
      </c>
      <c r="Y91" s="530">
        <f>IF('Study Information &amp; rates'!$B$44="No",SUM('Per patient Arm 1'!Y84,'Per patient Arm 1'!Y85,'Per patient Arm 1'!Y86,'Per patient Arm 1'!Y87,'Per patient Arm 1'!Y88),(0.337*Y90)+Y90)</f>
        <v>0</v>
      </c>
      <c r="Z91" s="530">
        <f>IF('Study Information &amp; rates'!$B$44="No",SUM('Per patient Arm 1'!Z84,'Per patient Arm 1'!Z85,'Per patient Arm 1'!Z86,'Per patient Arm 1'!Z87,'Per patient Arm 1'!Z88),(0.337*Z90)+Z90)</f>
        <v>0</v>
      </c>
      <c r="AA91" s="530">
        <f>IF('Study Information &amp; rates'!$B$44="No",SUM('Per patient Arm 1'!AA84,'Per patient Arm 1'!AA85,'Per patient Arm 1'!AA86,'Per patient Arm 1'!AA87,'Per patient Arm 1'!AA88),(0.337*AA90)+AA90)</f>
        <v>0</v>
      </c>
      <c r="AB91" s="530">
        <f>IF('Study Information &amp; rates'!$B$44="No",SUM('Per patient Arm 1'!AB84,'Per patient Arm 1'!AB85,'Per patient Arm 1'!AB86,'Per patient Arm 1'!AB87,'Per patient Arm 1'!AB88),(0.337*AB90)+AB90)</f>
        <v>0</v>
      </c>
      <c r="AC91" s="530">
        <f>IF('Study Information &amp; rates'!$B$44="No",SUM('Per patient Arm 1'!AC84,'Per patient Arm 1'!AC85,'Per patient Arm 1'!AC86,'Per patient Arm 1'!AC87,'Per patient Arm 1'!AC88),(0.337*AC90)+AC90)</f>
        <v>0</v>
      </c>
      <c r="AD91" s="530">
        <f>IF('Study Information &amp; rates'!$B$44="No",SUM('Per patient Arm 1'!AD84,'Per patient Arm 1'!AD85,'Per patient Arm 1'!AD86,'Per patient Arm 1'!AD87,'Per patient Arm 1'!AD88),(0.337*AD90)+AD90)</f>
        <v>0</v>
      </c>
      <c r="AE91" s="530">
        <f>IF('Study Information &amp; rates'!$B$44="No",SUM('Per patient Arm 1'!AE84,'Per patient Arm 1'!AE85,'Per patient Arm 1'!AE86,'Per patient Arm 1'!AE87,'Per patient Arm 1'!AE88),(0.337*AE90)+AE90)</f>
        <v>0</v>
      </c>
      <c r="AF91" s="530">
        <f>IF('Study Information &amp; rates'!$B$44="No",SUM('Per patient Arm 1'!AF84,'Per patient Arm 1'!AF85,'Per patient Arm 1'!AF86,'Per patient Arm 1'!AF87,'Per patient Arm 1'!AF88),(0.337*AF90)+AF90)</f>
        <v>0</v>
      </c>
      <c r="AG91" s="530">
        <f>IF('Study Information &amp; rates'!$B$44="No",SUM('Per patient Arm 1'!AG84,'Per patient Arm 1'!AG85,'Per patient Arm 1'!AG86,'Per patient Arm 1'!AG87,'Per patient Arm 1'!AG88),(0.337*AG90)+AG90)</f>
        <v>0</v>
      </c>
      <c r="AH91" s="530">
        <f>IF('Study Information &amp; rates'!$B$44="No",SUM('Per patient Arm 1'!AH84,'Per patient Arm 1'!AH85,'Per patient Arm 1'!AH86,'Per patient Arm 1'!AH87,'Per patient Arm 1'!AH88),(0.337*AH90)+AH90)</f>
        <v>0</v>
      </c>
      <c r="AI91" s="530">
        <f>IF('Study Information &amp; rates'!$B$44="No",SUM('Per patient Arm 1'!AI84,'Per patient Arm 1'!AI85,'Per patient Arm 1'!AI86,'Per patient Arm 1'!AI87,'Per patient Arm 1'!AI88),(0.337*AI90)+AI90)</f>
        <v>0</v>
      </c>
      <c r="AJ91" s="530">
        <f>IF('Study Information &amp; rates'!$B$44="No",SUM('Per patient Arm 1'!AJ84,'Per patient Arm 1'!AJ85,'Per patient Arm 1'!AJ86,'Per patient Arm 1'!AJ87,'Per patient Arm 1'!AJ88),(0.337*AJ90)+AJ90)</f>
        <v>0</v>
      </c>
      <c r="AK91" s="530">
        <f>IF('Study Information &amp; rates'!$B$44="No",SUM('Per patient Arm 1'!AK84,'Per patient Arm 1'!AK85,'Per patient Arm 1'!AK86,'Per patient Arm 1'!AK87,'Per patient Arm 1'!AK88),(0.337*AK90)+AK90)</f>
        <v>0</v>
      </c>
      <c r="AL91" s="530">
        <f>IF('Study Information &amp; rates'!$B$44="No",SUM('Per patient Arm 1'!AL84,'Per patient Arm 1'!AL85,'Per patient Arm 1'!AL86,'Per patient Arm 1'!AL87,'Per patient Arm 1'!AL88),(0.337*AL90)+AL90)</f>
        <v>0</v>
      </c>
      <c r="AM91" s="530">
        <f>IF('Study Information &amp; rates'!$B$44="No",SUM('Per patient Arm 1'!AM84,'Per patient Arm 1'!AM85,'Per patient Arm 1'!AM86,'Per patient Arm 1'!AM87,'Per patient Arm 1'!AM88),(0.337*AM90)+AM90)</f>
        <v>0</v>
      </c>
      <c r="AN91" s="530">
        <f>IF('Study Information &amp; rates'!$B$44="No",SUM('Per patient Arm 1'!AN84,'Per patient Arm 1'!AN85,'Per patient Arm 1'!AN86,'Per patient Arm 1'!AN87,'Per patient Arm 1'!AN88),(0.337*AN90)+AN90)</f>
        <v>0</v>
      </c>
      <c r="AO91" s="530">
        <f>IF('Study Information &amp; rates'!$B$44="No",SUM('Per patient Arm 1'!AO84,'Per patient Arm 1'!AO85,'Per patient Arm 1'!AO86,'Per patient Arm 1'!AO87,'Per patient Arm 1'!AO88),(0.337*AO90)+AO90)</f>
        <v>0</v>
      </c>
      <c r="AP91" s="530">
        <f>IF('Study Information &amp; rates'!$B$44="No",SUM('Per patient Arm 1'!AP84,'Per patient Arm 1'!AP85,'Per patient Arm 1'!AP86,'Per patient Arm 1'!AP87,'Per patient Arm 1'!AP88),(0.337*AP90)+AP90)</f>
        <v>0</v>
      </c>
      <c r="AQ91" s="533">
        <f>SUM(H91:AP91,AP91)</f>
        <v>0</v>
      </c>
      <c r="AR91" s="440">
        <f>'Set-up and other costs'!$B$18*'Per patient Arm 1'!AQ91</f>
        <v>0</v>
      </c>
      <c r="AS91" s="510"/>
      <c r="AT91" s="510"/>
      <c r="AU91" s="510"/>
      <c r="AV91" s="510"/>
      <c r="BG91" s="449">
        <f>SUM(BF84:BF88)</f>
        <v>0</v>
      </c>
    </row>
    <row r="92" spans="1:48">
      <c r="A92" s="510"/>
      <c r="B92" s="510"/>
      <c r="C92" s="510"/>
      <c r="D92" s="510"/>
      <c r="E92" s="510"/>
      <c r="F92" s="510"/>
      <c r="G92" s="510"/>
      <c r="H92" s="510"/>
      <c r="I92" s="510"/>
      <c r="J92" s="510"/>
      <c r="K92" s="510"/>
      <c r="L92" s="510"/>
      <c r="M92" s="510"/>
      <c r="N92" s="510"/>
      <c r="O92" s="510"/>
      <c r="P92" s="510"/>
      <c r="Q92" s="510"/>
      <c r="R92" s="510"/>
      <c r="S92" s="510"/>
      <c r="T92" s="510"/>
      <c r="U92" s="510"/>
      <c r="V92" s="510"/>
      <c r="W92" s="510"/>
      <c r="X92" s="510"/>
      <c r="Y92" s="510"/>
      <c r="Z92" s="510"/>
      <c r="AA92" s="510"/>
      <c r="AB92" s="510"/>
      <c r="AC92" s="510"/>
      <c r="AD92" s="510"/>
      <c r="AE92" s="510"/>
      <c r="AF92" s="510"/>
      <c r="AG92" s="510"/>
      <c r="AH92" s="510"/>
      <c r="AI92" s="510"/>
      <c r="AJ92" s="510"/>
      <c r="AK92" s="510"/>
      <c r="AL92" s="510"/>
      <c r="AM92" s="510"/>
      <c r="AN92" s="510"/>
      <c r="AO92" s="510"/>
      <c r="AP92" s="510"/>
      <c r="AQ92" s="435">
        <f>AR91*8</f>
        <v>0</v>
      </c>
      <c r="AR92" s="511">
        <f>AR91*8</f>
        <v>0</v>
      </c>
      <c r="AS92" s="510"/>
      <c r="AT92" s="510"/>
      <c r="AU92" s="510"/>
      <c r="AV92" s="510"/>
    </row>
    <row r="93" spans="1:48">
      <c r="A93" s="510"/>
      <c r="B93" s="510"/>
      <c r="C93" s="510"/>
      <c r="D93" s="510"/>
      <c r="E93" s="510"/>
      <c r="F93" s="510"/>
      <c r="G93" s="510"/>
      <c r="H93" s="510"/>
      <c r="I93" s="510"/>
      <c r="J93" s="510"/>
      <c r="K93" s="510"/>
      <c r="L93" s="510"/>
      <c r="M93" s="510"/>
      <c r="N93" s="510"/>
      <c r="O93" s="510"/>
      <c r="P93" s="510"/>
      <c r="Q93" s="510"/>
      <c r="R93" s="510"/>
      <c r="S93" s="510"/>
      <c r="T93" s="510"/>
      <c r="U93" s="510"/>
      <c r="V93" s="510"/>
      <c r="W93" s="510"/>
      <c r="X93" s="510"/>
      <c r="Y93" s="510"/>
      <c r="Z93" s="510"/>
      <c r="AA93" s="510"/>
      <c r="AB93" s="510"/>
      <c r="AC93" s="510"/>
      <c r="AD93" s="510"/>
      <c r="AE93" s="510"/>
      <c r="AF93" s="510"/>
      <c r="AG93" s="510"/>
      <c r="AH93" s="510"/>
      <c r="AI93" s="510"/>
      <c r="AJ93" s="510"/>
      <c r="AK93" s="510"/>
      <c r="AL93" s="510"/>
      <c r="AM93" s="510"/>
      <c r="AN93" s="510"/>
      <c r="AO93" s="510"/>
      <c r="AP93" s="510"/>
      <c r="AQ93" s="435">
        <f>AR92+'Per patient Arm 2'!AR93</f>
        <v>0</v>
      </c>
      <c r="AR93" s="511">
        <f>AR92+'Per patient Arm 2'!AR93</f>
        <v>0</v>
      </c>
      <c r="AS93" s="510"/>
      <c r="AT93" s="510"/>
      <c r="AU93" s="510"/>
      <c r="AV93" s="510"/>
    </row>
    <row r="97" spans="45:45">
      <c r="AS97" s="471">
        <f>(SUM(AR85:AR87)*1.287)+(0.05*SUM(AR85:AR87))</f>
        <v>0</v>
      </c>
    </row>
  </sheetData>
  <sheetProtection algorithmName="SHA-512" hashValue="UqQphp1gtvcKD3xZGOrmAFORw4cie1l+jwyIX5UJO850KCqSQtjvxwezp+zM96tk6DZ47lWsw9w6bjynWcm0qg==" saltValue="WAy/aRGQuxUQUGltjFYDJQ==" spinCount="100000" sheet="1" objects="1" scenarios="1"/>
  <mergeCells count="27">
    <mergeCell ref="D78:E78"/>
    <mergeCell ref="D79:E79"/>
    <mergeCell ref="D80:E80"/>
    <mergeCell ref="D72:E72"/>
    <mergeCell ref="D73:E73"/>
    <mergeCell ref="D74:E74"/>
    <mergeCell ref="D75:E75"/>
    <mergeCell ref="D76:E76"/>
    <mergeCell ref="D77:E77"/>
    <mergeCell ref="D71:E71"/>
    <mergeCell ref="D60:E60"/>
    <mergeCell ref="D61:E61"/>
    <mergeCell ref="D62:E62"/>
    <mergeCell ref="D63:E63"/>
    <mergeCell ref="D64:E64"/>
    <mergeCell ref="D65:E65"/>
    <mergeCell ref="D66:E66"/>
    <mergeCell ref="D67:E67"/>
    <mergeCell ref="D68:E68"/>
    <mergeCell ref="D69:E69"/>
    <mergeCell ref="D70:E70"/>
    <mergeCell ref="D59:E59"/>
    <mergeCell ref="D54:E54"/>
    <mergeCell ref="D55:E55"/>
    <mergeCell ref="D56:E56"/>
    <mergeCell ref="D57:E57"/>
    <mergeCell ref="D58:E58"/>
  </mergeCells>
  <conditionalFormatting sqref="AW50:AZ50 A4">
    <cfRule type="containsText" dxfId="68" operator="containsText" text="False" priority="3">
      <formula>NOT(ISERROR(SEARCH("False",A4)))</formula>
    </cfRule>
    <cfRule type="containsText" dxfId="69" operator="containsText" text="True" priority="4">
      <formula>NOT(ISERROR(SEARCH("True",A4)))</formula>
    </cfRule>
  </conditionalFormatting>
  <dataValidations count="8">
    <dataValidation type="list" allowBlank="1" showInputMessage="1" prompt="Please use the drop-down to select the activity type.  If the activity is not in the list, please enter the activity as free text." sqref="A7:A41">
      <formula1>INDIRECT(SUBSTITUTE($A7," ","_"))</formula1>
    </dataValidation>
    <dataValidation type="whole" operator="greaterThan" allowBlank="1" showInputMessage="1" showErrorMessage="1" sqref="H55:AQ55 H7:AQ45">
      <formula1>0</formula1>
    </dataValidation>
    <dataValidation type="list" allowBlank="1" showInputMessage="1" sqref="A55:A80">
      <formula1>CostList</formula1>
    </dataValidation>
    <dataValidation type="list" allowBlank="1" showInputMessage="1" showErrorMessage="1" sqref="B55:B80 B7:B45">
      <formula1>AcCord</formula1>
    </dataValidation>
    <dataValidation type="list" allowBlank="1" showInputMessage="1" showErrorMessage="1" sqref="C55:C80">
      <formula1>Alan2</formula1>
    </dataValidation>
    <dataValidation type="list" allowBlank="1" showInputMessage="1" sqref="A42:A45">
      <formula1>'[1]#REF'!#REF!</formula1>
    </dataValidation>
    <dataValidation type="list" allowBlank="1" showInputMessage="1" showErrorMessage="1" sqref="B55:B80">
      <formula1>'Look Up'!A55:A59</formula1>
    </dataValidation>
    <dataValidation type="list" allowBlank="1" showInputMessage="1" showErrorMessage="1" sqref="B7:B45">
      <formula1>'Look Up'!A5:A9</formula1>
    </dataValidation>
  </dataValidations>
  <pageMargins left="0.7" right="0.7" top="0.75" bottom="0.75" header="0.3" footer="0.3"/>
  <pageSetup paperSize="8" scale="60" orientation="landscape"/>
  <headerFooter scaleWithDoc="1" alignWithMargins="0" differentFirst="0" differentOddEven="0"/>
  <extLst/>
</worksheet>
</file>

<file path=docProps/app.xml><?xml version="1.0" encoding="utf-8"?>
<Properties xmlns="http://schemas.openxmlformats.org/officeDocument/2006/extended-properties">
  <Application>Microsoft Excel</Application>
  <Company>SUHT</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martif1</dc:creator>
  <cp:keywords/>
  <cp:lastModifiedBy>Alice Pengelly</cp:lastModifiedBy>
  <dcterms:created xsi:type="dcterms:W3CDTF">2013-04-08T15:40:08Z</dcterms:created>
  <dcterms:modified xsi:type="dcterms:W3CDTF">2024-05-22T13:53:25Z</dcterms:modified>
  <dc:subject/>
  <cp:lastPrinted>2018-06-19T14:42:56Z</cp:lastPrinted>
  <dc:title>1.-Grant-costing-Template-V18-May2024</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SV_QUERY_LIST_4F35BF76-6C0D-4D9B-82B2-816C12CF3733">
    <vt:lpstr>empty_477D106A-C0D6-4607-AEBD-E2C9D60EA279</vt:lpstr>
  </property>
  <property fmtid="{D5CDD505-2E9C-101B-9397-08002B2CF9AE}" pid="3" name="SV_HIDDEN_GRID_QUERY_LIST_4F35BF76-6C0D-4D9B-82B2-816C12CF3733">
    <vt:lpstr>empty_477D106A-C0D6-4607-AEBD-E2C9D60EA279</vt:lpstr>
  </property>
</Properties>
</file>