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officeDocument/2006/relationships/extended-properties" Target="docProps/app.xml" /><Relationship Id="rId1" Type="http://schemas.openxmlformats.org/officeDocument/2006/relationships/officeDocument" Target="xl/workbook.xml" /><Relationship Id="rId3"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fileVersion appName="xl" lastEdited="7" lowestEdited="5" rupBuild="27328"/>
  <workbookPr codeName="ThisWorkbook" defaultThemeVersion="124226"/>
  <workbookProtection workbookAlgorithmName="SHA-512" workbookHashValue="zrbNBYRN4IZ3KShAd8CCfZV0rELoYTIHDMJniygujZPjXOnVuFfE9aYGIMxJMKNIBm+RZT5GWmH2Rkxal3bclg==" workbookSaltValue="BEwR3D5YQxnpCjJPkQfzeQ==" workbookSpinCount="100000" lockStructure="1"/>
  <bookViews>
    <workbookView xWindow="-19320" yWindow="-120" windowWidth="19440" windowHeight="15000" tabRatio="886" firstSheet="1" activeTab="1"/>
  </bookViews>
  <sheets>
    <sheet name="Guidance" sheetId="16" r:id="rId1" state="hidden"/>
    <sheet name="Study Information &amp; rates" sheetId="7" r:id="rId2"/>
    <sheet name="Total summary" sheetId="6" r:id="rId3" state="hidden"/>
    <sheet name="Budget" sheetId="25" r:id="rId4" state="hidden"/>
    <sheet name="R&amp;D Overheads data" sheetId="19" r:id="rId5" state="hidden"/>
    <sheet name="Look Up" sheetId="18" r:id="rId6" state="hidden"/>
    <sheet name="Total Summary and Budget" sheetId="43" r:id="rId7"/>
    <sheet name="UHS Individual cost" sheetId="48" r:id="rId8"/>
    <sheet name="Per patient Arm 1" sheetId="26" r:id="rId9"/>
    <sheet name="Per patient Arm 2" sheetId="1" r:id="rId10"/>
    <sheet name="Per patient Arm 3" sheetId="30" r:id="rId11" state="hidden"/>
    <sheet name="Per patient Arm 4" sheetId="34" r:id="rId12" state="hidden"/>
    <sheet name="Per patient Arm 5" sheetId="38" r:id="rId13" state="hidden"/>
    <sheet name="Additional Study Activities" sheetId="5" r:id="rId14"/>
    <sheet name="CRF" sheetId="46" r:id="rId15"/>
    <sheet name="Pathology" sheetId="44" r:id="rId16"/>
    <sheet name="Pharmacy" sheetId="15" r:id="rId17"/>
    <sheet name="Radiology" sheetId="45" r:id="rId18"/>
    <sheet name="PPI dissemination breakdown" sheetId="49" r:id="rId19" state="hidden"/>
    <sheet name="Set-up and other costs" sheetId="8" r:id="rId20"/>
    <sheet name="Reconciliation" sheetId="42" r:id="rId21" state="hidden"/>
    <sheet name="R&amp;D Authorisation Sheet" sheetId="23" r:id="rId22" state="hidden"/>
    <sheet name="Data Sheet Costs" sheetId="17" r:id="rId23" state="hidden"/>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comment="" localSheetId="22" hidden="1">'Data Sheet Costs'!$A$8:$N$1117</definedName>
    <definedName name="_xlnm._FilterDatabase" comment="" localSheetId="8" hidden="1">'Per patient Arm 1'!$A$6:$BW$52</definedName>
    <definedName name="_xlnm._FilterDatabase" comment="" localSheetId="9" hidden="1">'Per patient Arm 2'!$A$7:$BV$82</definedName>
    <definedName name="_xlnm._FilterDatabase" comment="" localSheetId="6" hidden="1">'Total Summary and Budget'!$B$19:$E$19</definedName>
    <definedName name="AcCord" comment="">'Look Up'!$A$5:$A$9</definedName>
    <definedName name="Alan" comment="">'Look Up'!$A$29:$A$31</definedName>
    <definedName name="Alan2" comment="">'Look Up'!$A$30:$A$31</definedName>
    <definedName name="Area_of_Activity_study_in_general" comment="">'[1]Menu Data'!$A$2:$A$6</definedName>
    <definedName name="Cost_Type" comment="" localSheetId="3">'[2]Lists'!$AE$3:$AE$6</definedName>
    <definedName name="Cost_Type" comment="">'[2]Lists'!$AE$3:$AE$6</definedName>
    <definedName name="CostList" comment="" localSheetId="15">'[3]Data Sheet Costs'!$A$9:$A$1112</definedName>
    <definedName name="CostList" comment="" localSheetId="17">'[3]Data Sheet Costs'!$A$9:$A$1112</definedName>
    <definedName name="costlist" comment="" localSheetId="6">'[4]Data Sheet Costs'!$A$9:$A$1112</definedName>
    <definedName name="CostList" comment="">'Data Sheet Costs'!$A$9:$A$1112</definedName>
    <definedName name="Costs_Fall_To" comment="" localSheetId="3">'[2]Lists'!$AC$3:$AC$16</definedName>
    <definedName name="Costs_Fall_To" comment="">'[2]Lists'!$AC$3:$AC$16</definedName>
    <definedName name="Educational" comment="" localSheetId="3">'[2]Lists'!$W$3:$W$9</definedName>
    <definedName name="Educational" comment="">'[2]Lists'!$W$3:$W$9</definedName>
    <definedName name="Emily" comment="">'Look Up'!$A$33:$A$34</definedName>
    <definedName name="Nope" comment="" localSheetId="15">'[3]Set-up and other costs'!$C$4</definedName>
    <definedName name="Nope" comment="" localSheetId="17">'[3]Set-up and other costs'!$C$4</definedName>
    <definedName name="Nope" comment="">'Set-up and other costs'!$C$4</definedName>
    <definedName name="Nope1" comment="" localSheetId="15">'[3]Per patient Arm 1'!$AS$51</definedName>
    <definedName name="Nope1" comment="" localSheetId="17">'[3]Per patient Arm 1'!$AS$51</definedName>
    <definedName name="Nope1" comment="">'Per patient Arm 2'!$AT$52</definedName>
    <definedName name="Nope2" comment="" localSheetId="15">'[3]Per patient Arm 2'!$AS$51</definedName>
    <definedName name="Nope2" comment="" localSheetId="17">'[3]Per patient Arm 2'!$AS$51</definedName>
    <definedName name="Nope2" comment="">'Per patient Arm 1'!$AT$51</definedName>
    <definedName name="Nope3" comment="" localSheetId="15">'[3]Per patient Arm 3'!$AS$51</definedName>
    <definedName name="Nope3" comment="" localSheetId="17">'[3]Per patient Arm 3'!$AS$51</definedName>
    <definedName name="Nope3" comment="">'Per patient Arm 3'!$AT$52</definedName>
    <definedName name="Nope4" comment="" localSheetId="15">'[3]Per patient Arm 4'!$AS$51</definedName>
    <definedName name="Nope4" comment="" localSheetId="17">'[3]Per patient Arm 4'!$AS$51</definedName>
    <definedName name="Nope4" comment="">'Per patient Arm 4'!$AT$52</definedName>
    <definedName name="Nope5" comment="" localSheetId="15">'[3]Per patient Arm 5'!$AS$51</definedName>
    <definedName name="Nope5" comment="" localSheetId="17">'[3]Per patient Arm 5'!$AS$51</definedName>
    <definedName name="Nope5" comment="">'Per patient Arm 5'!$AT$52</definedName>
    <definedName name="Others" comment="">'[4]Look Up'!$A$15:$A$18</definedName>
    <definedName name="Position" comment="">'Look Up'!$A$22:$B$27</definedName>
    <definedName name="_xlnm.Print_Area" comment="" localSheetId="22">'Data Sheet Costs'!$A$8:$H$27</definedName>
    <definedName name="_xlnm.Print_Area" comment="" localSheetId="20">Reconciliation!$A$1:$G$55</definedName>
    <definedName name="_xlnm.Print_Area" comment="" localSheetId="1">'Study Information &amp; rates'!$A$52:$F$52</definedName>
    <definedName name="Procedure" comment="">'[5]Lists'!$A$54:$A$71</definedName>
    <definedName name="Procedures" comment="" localSheetId="3">'[2]Lists'!$AA$3:$AA$22</definedName>
    <definedName name="Procedures" comment="">'[2]Lists'!$AA$3:$AA$22</definedName>
    <definedName name="Process" comment="" localSheetId="3">'[2]Lists'!$AF$3:$AF$53</definedName>
    <definedName name="Process" comment="">'[2]Lists'!$AF$3:$AF$53</definedName>
    <definedName name="Project_Complete" comment="" localSheetId="3">'[2]Lists'!$AD$3:$AD$5</definedName>
    <definedName name="Project_Complete" comment="">'[2]Lists'!$AD$3:$AD$5</definedName>
    <definedName name="Project_Costs" comment="" localSheetId="3">'[2]Lists'!$A$3:$A$21</definedName>
    <definedName name="Project_Costs" comment="">'[2]Lists'!$A$3:$A$21</definedName>
    <definedName name="Rose" comment="">'Study Information &amp; rates'!$V$12:$V$19</definedName>
    <definedName name="Set_up" comment="" localSheetId="3">'[2]Lists'!$X$3:$X$12</definedName>
    <definedName name="Set_up" comment="">'[2]Lists'!$X$3:$X$12</definedName>
    <definedName name="Study_Type" comment="" localSheetId="3">'[2]Lists'!$V$3:$V$7</definedName>
    <definedName name="Study_Type" comment="">'[2]Lists'!$V$3:$V$7</definedName>
    <definedName name="Supportdepartments" comment="" localSheetId="15">'[3]Look Up'!$A$16:$A$19</definedName>
    <definedName name="Supportdepartments" comment="" localSheetId="17">'[3]Look Up'!$A$16:$A$19</definedName>
    <definedName name="Supportdepartments" comment="">'Look Up'!$A$16:$A$20</definedName>
    <definedName name="Treatment" comment="">'[4]Look Up'!$A$5:$A$8</definedName>
    <definedName name="UNDERTAKEN_BY" comment="">'[1]Staff Cost Table'!$B$4:$B$21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Chibwana, Prince</author>
    <author>Ette, Emenere</author>
  </authors>
  <commentList>
    <comment ref="K54" authorId="0">
      <text>
        <r>
          <t/>
        </r>
        <r>
          <rPr>
            <b/>
            <sz val="9"/>
            <color indexed="81"/>
            <rFont val="Tahoma"/>
            <family val="2"/>
            <charset val="0"/>
          </rPr>
          <t>Chibwana, Prince:</t>
        </r>
        <r>
          <rPr>
            <sz val="9"/>
            <color indexed="81"/>
            <rFont val="Tahoma"/>
            <family val="2"/>
            <charset val="0"/>
          </rPr>
          <t xml:space="preserve">
should match C41
</t>
        </r>
      </text>
    </comment>
    <comment ref="B16" authorId="1">
      <text>
        <r>
          <t/>
        </r>
        <r>
          <rPr>
            <b/>
            <sz val="9"/>
            <color indexed="81"/>
            <rFont val="Tahoma"/>
            <family val="2"/>
            <charset val="0"/>
          </rPr>
          <t>Ette, Emenere:</t>
        </r>
        <r>
          <rPr>
            <sz val="9"/>
            <color indexed="81"/>
            <rFont val="Tahoma"/>
            <family val="2"/>
            <charset val="0"/>
          </rPr>
          <t xml:space="preserve">
Inset Income  from Funder (Income should be inputed with a negative sign infront</t>
        </r>
      </text>
    </comment>
  </commentList>
</comments>
</file>

<file path=xl/comments2.xml><?xml version="1.0" encoding="utf-8"?>
<comments xmlns="http://schemas.openxmlformats.org/spreadsheetml/2006/main">
  <authors>
    <author>Ette, Emenere</author>
  </authors>
  <commentList>
    <comment ref="A59" authorId="0">
      <text>
        <r>
          <t/>
        </r>
        <r>
          <rPr>
            <b/>
            <sz val="9"/>
            <color indexed="81"/>
            <rFont val="Tahoma"/>
            <family val="2"/>
            <charset val="0"/>
          </rPr>
          <t>Ette, Emenere:</t>
        </r>
        <r>
          <rPr>
            <sz val="9"/>
            <color indexed="81"/>
            <rFont val="Tahoma"/>
            <family val="2"/>
            <charset val="0"/>
          </rPr>
          <t xml:space="preserve">
including meal, hotel and transportation</t>
        </r>
      </text>
    </comment>
  </commentList>
</comments>
</file>

<file path=xl/comments3.xml><?xml version="1.0" encoding="utf-8"?>
<comments xmlns="http://schemas.openxmlformats.org/spreadsheetml/2006/main">
  <authors>
    <author>Jennings, Avalon</author>
  </authors>
  <commentList>
    <comment ref="A25"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4.xml><?xml version="1.0" encoding="utf-8"?>
<comments xmlns="http://schemas.openxmlformats.org/spreadsheetml/2006/main">
  <authors>
    <author>Jennings, Avalon</author>
  </authors>
  <commentList>
    <comment ref="A20"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5.xml><?xml version="1.0" encoding="utf-8"?>
<comments xmlns="http://schemas.openxmlformats.org/spreadsheetml/2006/main">
  <authors>
    <author>mucked</author>
  </authors>
  <commentList>
    <comment ref="D23" authorId="0">
      <text>
        <r>
          <t/>
        </r>
        <r>
          <rPr>
            <b/>
            <sz val="8"/>
            <color indexed="81"/>
            <rFont val="Tahoma"/>
            <family val="2"/>
            <charset val="0"/>
          </rPr>
          <t>mucked:</t>
        </r>
        <r>
          <rPr>
            <sz val="8"/>
            <color indexed="81"/>
            <rFont val="Tahoma"/>
            <family val="2"/>
            <charset val="0"/>
          </rPr>
          <t xml:space="preserve">
Basic
</t>
        </r>
      </text>
    </comment>
    <comment ref="C29" authorId="0">
      <text>
        <r>
          <t/>
        </r>
        <r>
          <rPr>
            <b/>
            <sz val="8"/>
            <color indexed="81"/>
            <rFont val="Tahoma"/>
            <family val="2"/>
            <charset val="0"/>
          </rPr>
          <t>mucked:</t>
        </r>
        <r>
          <rPr>
            <sz val="8"/>
            <color indexed="81"/>
            <rFont val="Tahoma"/>
            <family val="2"/>
            <charset val="0"/>
          </rPr>
          <t xml:space="preserve">
Spirometry £45.00 + Transfer Factor £106.00</t>
        </r>
      </text>
    </comment>
  </commentList>
</comments>
</file>

<file path=xl/sharedStrings.xml><?xml version="1.0" encoding="utf-8"?>
<sst xmlns="http://schemas.openxmlformats.org/spreadsheetml/2006/main" uniqueCount="2504" count="4149">
  <si>
    <t>Procedures</t>
  </si>
  <si>
    <t>Clinical Time</t>
  </si>
  <si>
    <t>Calculated payment based on time and costs</t>
  </si>
  <si>
    <t>Subtotal</t>
  </si>
  <si>
    <t>TOTAL Staff Price</t>
  </si>
  <si>
    <t>Overhead (28.7%)</t>
  </si>
  <si>
    <t>Rate per hour</t>
  </si>
  <si>
    <t>Rate per minute:</t>
  </si>
  <si>
    <t>Admin</t>
  </si>
  <si>
    <t>Nurse Time</t>
  </si>
  <si>
    <t>Study title</t>
  </si>
  <si>
    <t>Sponsor</t>
  </si>
  <si>
    <t xml:space="preserve">Staff </t>
  </si>
  <si>
    <t>Rate per minute: Including R&amp;D overheads (28.7%)</t>
  </si>
  <si>
    <t>Rate per hour: Including R&amp;D overheads (28.7%)</t>
  </si>
  <si>
    <t>Visit 3</t>
  </si>
  <si>
    <t>Visit 4</t>
  </si>
  <si>
    <t>Visit 6</t>
  </si>
  <si>
    <t>Visit 7</t>
  </si>
  <si>
    <t>Visit 1- Screening</t>
  </si>
  <si>
    <t>Investigation</t>
  </si>
  <si>
    <t>Price of investigation</t>
  </si>
  <si>
    <t>Study Investigations</t>
  </si>
  <si>
    <t>Study Research Procedures and Related Activities:</t>
  </si>
  <si>
    <t>Task</t>
  </si>
  <si>
    <t>Price</t>
  </si>
  <si>
    <t>Set-up, management and close-down costs</t>
  </si>
  <si>
    <t>Total number of visits per patient</t>
  </si>
  <si>
    <t>Total number of patients</t>
  </si>
  <si>
    <t>Study Activity</t>
  </si>
  <si>
    <t>Project Manager</t>
  </si>
  <si>
    <t>Additional costs</t>
  </si>
  <si>
    <t>TOTAL Nurse Time per visit</t>
  </si>
  <si>
    <t xml:space="preserve">Pharmacy </t>
  </si>
  <si>
    <t/>
  </si>
  <si>
    <t>Per patient screening only</t>
  </si>
  <si>
    <t>Additional Study Activities</t>
  </si>
  <si>
    <t>Study Set-up</t>
  </si>
  <si>
    <t xml:space="preserve">Additional Costs </t>
  </si>
  <si>
    <t>Visit 8</t>
  </si>
  <si>
    <t>Key Staff</t>
  </si>
  <si>
    <t>PI</t>
  </si>
  <si>
    <t>Research Fellow</t>
  </si>
  <si>
    <t>Lead Nurse</t>
  </si>
  <si>
    <t>Admin Staff</t>
  </si>
  <si>
    <t>screening only</t>
  </si>
  <si>
    <t>TOTAL Admin Time per visit</t>
  </si>
  <si>
    <t xml:space="preserve">Total nurse cost per visit </t>
  </si>
  <si>
    <t xml:space="preserve">Total admin cost per visit </t>
  </si>
  <si>
    <t>Investigations price per visit</t>
  </si>
  <si>
    <t>Total</t>
  </si>
  <si>
    <t>Pharmacy Costs</t>
  </si>
  <si>
    <t>TOTAL Per Patient - Staff time, Lab investigations</t>
  </si>
  <si>
    <t>TOTAL price (staff+investigations) per visit including Overheads</t>
  </si>
  <si>
    <t>Number of Visits</t>
  </si>
  <si>
    <t>Numberof Patients</t>
  </si>
  <si>
    <t>Visit 2</t>
  </si>
  <si>
    <t>Visit 5</t>
  </si>
  <si>
    <t>Visit 1 - Screening</t>
  </si>
  <si>
    <t>Study Cost Centre</t>
  </si>
  <si>
    <t>SUBTOTAL - Visit costs  (Staff time, Lab investigations)</t>
  </si>
  <si>
    <t>Visit 9</t>
  </si>
  <si>
    <t>Total study Cost</t>
  </si>
  <si>
    <t>Difference</t>
  </si>
  <si>
    <t>Total Study income (Minus Value)</t>
  </si>
  <si>
    <t>Staff Time (WTE)</t>
  </si>
  <si>
    <t>Nursing Time</t>
  </si>
  <si>
    <t>Project manager (Co-ordinator) Time</t>
  </si>
  <si>
    <t>Data Sheet Costs</t>
  </si>
  <si>
    <t xml:space="preserve">Figures only to be altered after agreement with Finance - </t>
  </si>
  <si>
    <t>Updated per 2013/2014 payscales</t>
  </si>
  <si>
    <t>If costs added - extend formulas on costing sheets - columns F &amp; M</t>
  </si>
  <si>
    <t xml:space="preserve">NI </t>
  </si>
  <si>
    <t>TO 40K</t>
  </si>
  <si>
    <t>Over 40k</t>
  </si>
  <si>
    <t>Per Hour/Per Item</t>
  </si>
  <si>
    <t>HRG4/UKCLRN</t>
  </si>
  <si>
    <t>Super Ann</t>
  </si>
  <si>
    <t>None</t>
  </si>
  <si>
    <t>Top Point</t>
  </si>
  <si>
    <t>NI &amp; Pens</t>
  </si>
  <si>
    <t>Staff</t>
  </si>
  <si>
    <t>Band 1</t>
  </si>
  <si>
    <t>Band 2 (eg MTO)</t>
  </si>
  <si>
    <t>Band 3 (eg Clerical)</t>
  </si>
  <si>
    <t>Band 4 (eg dental nurse, MLSO)</t>
  </si>
  <si>
    <t>Band 5 (eg AHPs)</t>
  </si>
  <si>
    <t>Band 6 (eg Staff Nurse/Midwife)</t>
  </si>
  <si>
    <t>Band 7 (eg Senior Nurse)</t>
  </si>
  <si>
    <t>Band 8A (eg Senior Clinical Scientist)</t>
  </si>
  <si>
    <t>Band 8B (eg Nurse Consultant)</t>
  </si>
  <si>
    <t>Band 8C (eg Senior Manager)</t>
  </si>
  <si>
    <t>Band 8D (eg Director)</t>
  </si>
  <si>
    <t>Band 9 (eg Executive)</t>
  </si>
  <si>
    <t>C White - e mail 10.12.09</t>
  </si>
  <si>
    <t>Student</t>
  </si>
  <si>
    <t>Consultant</t>
  </si>
  <si>
    <t>Specialist Registrar</t>
  </si>
  <si>
    <t>SHO</t>
  </si>
  <si>
    <t>HO</t>
  </si>
  <si>
    <t>Associate Specialist</t>
  </si>
  <si>
    <t>Consumables</t>
  </si>
  <si>
    <t>Cost per Box</t>
  </si>
  <si>
    <t>Contents</t>
  </si>
  <si>
    <t>Pulmonary Function Tests</t>
  </si>
  <si>
    <t>Apron Polythene Unisex Disposable</t>
  </si>
  <si>
    <t>Mask face surgical fluidshield membrane</t>
  </si>
  <si>
    <t>Mask face surgical duckbill</t>
  </si>
  <si>
    <t>Airway oropharyngeal size 000 - lilac</t>
  </si>
  <si>
    <t>FDB207</t>
  </si>
  <si>
    <t>Airway oropharyngeal size 00 - blue</t>
  </si>
  <si>
    <t>FDB208</t>
  </si>
  <si>
    <t>Airway oropharyngeal size 0 - grey</t>
  </si>
  <si>
    <t>FDB209</t>
  </si>
  <si>
    <t>Airway oropharyngeal size 1 - white</t>
  </si>
  <si>
    <t>FDB212</t>
  </si>
  <si>
    <t>Airway oropharyngeal size 2 - green</t>
  </si>
  <si>
    <t>FDB213</t>
  </si>
  <si>
    <t>Airway oropharyngeal size 3 - orange</t>
  </si>
  <si>
    <t>FDB214</t>
  </si>
  <si>
    <t>Airway oropharyngeal size 4 - red</t>
  </si>
  <si>
    <t>FDB215</t>
  </si>
  <si>
    <t>nasal cannula - paediatric</t>
  </si>
  <si>
    <t>FDC037</t>
  </si>
  <si>
    <t>nasal cannula - adult</t>
  </si>
  <si>
    <t>FDC305</t>
  </si>
  <si>
    <t>facemask aerosol - paediatric</t>
  </si>
  <si>
    <t>FDD005</t>
  </si>
  <si>
    <t>facemask aerosol - adult with nebuliser connector</t>
  </si>
  <si>
    <t>FDD006</t>
  </si>
  <si>
    <t>facemask aerosol - adult non rebreathing</t>
  </si>
  <si>
    <t>FDD113</t>
  </si>
  <si>
    <t>facemask single use - paediatric</t>
  </si>
  <si>
    <t>FDD321</t>
  </si>
  <si>
    <t>facemask oxygen med conc - paediatric</t>
  </si>
  <si>
    <t>FDD651</t>
  </si>
  <si>
    <t>facemask oxygen med conc - adult</t>
  </si>
  <si>
    <t>FDD654</t>
  </si>
  <si>
    <t>catheter mount for suction catheteres</t>
  </si>
  <si>
    <t>FDE019</t>
  </si>
  <si>
    <t>Peak Flow Meter mouthpiece</t>
  </si>
  <si>
    <t>FDD167</t>
  </si>
  <si>
    <t>Peak Flow Meter mouthpiece single use - adult</t>
  </si>
  <si>
    <t>FDE023</t>
  </si>
  <si>
    <t>Tracheal Tube sterile/siliconised (var sizes)</t>
  </si>
  <si>
    <t>FDF0033-FDF036</t>
  </si>
  <si>
    <t>Tracheal Tube murphy eye sterile (var sizes)</t>
  </si>
  <si>
    <t>FDF579-FDF604</t>
  </si>
  <si>
    <t>Mucus extractor/collector 20ml without catheter</t>
  </si>
  <si>
    <t>FFH001</t>
  </si>
  <si>
    <t>Mucus extractor/collector with brochoscopy adaptor</t>
  </si>
  <si>
    <t>FTP053</t>
  </si>
  <si>
    <t>Tourniquet latex free blood collection</t>
  </si>
  <si>
    <t>FWJ016</t>
  </si>
  <si>
    <t>Blood collection set 21g &amp; 23g</t>
  </si>
  <si>
    <t>KFK056 &amp; KFK058</t>
  </si>
  <si>
    <t>Total equipment cost for single blood visit</t>
  </si>
  <si>
    <t xml:space="preserve">Total cost for vaccination equipment per vaccine </t>
  </si>
  <si>
    <t>Needles (pr Box)</t>
  </si>
  <si>
    <t>Blue Needles</t>
  </si>
  <si>
    <t>Green Needles</t>
  </si>
  <si>
    <t>Mepopore tape (60 rolls)</t>
  </si>
  <si>
    <t>Plasters (Pack 100)</t>
  </si>
  <si>
    <t>Spot plasters</t>
  </si>
  <si>
    <t>tagaderm dressings</t>
  </si>
  <si>
    <t>Sterets(pack 100)</t>
  </si>
  <si>
    <t>Syringes - 2ml  each</t>
  </si>
  <si>
    <t>Syringes - 5ml  (100)</t>
  </si>
  <si>
    <t>Syringes - 10ml  (100)</t>
  </si>
  <si>
    <t>Syringes - 20ml  (100)</t>
  </si>
  <si>
    <t>Venflons blue</t>
  </si>
  <si>
    <t>Venflons green</t>
  </si>
  <si>
    <t>cotton wool balls</t>
  </si>
  <si>
    <t>Instrument tray</t>
  </si>
  <si>
    <t>liquid handwash</t>
  </si>
  <si>
    <t>Cleaning wipes</t>
  </si>
  <si>
    <t>Blue butterflies</t>
  </si>
  <si>
    <t>Green butterflies</t>
  </si>
  <si>
    <t>Burrette giving set (box 20)</t>
  </si>
  <si>
    <t>blood bottle (Vacutainer)</t>
  </si>
  <si>
    <t>Blood giving set (box 60)</t>
  </si>
  <si>
    <t>Specimen giving sets (box 100)</t>
  </si>
  <si>
    <t>Suction tubing</t>
  </si>
  <si>
    <t>Oxygen tubing</t>
  </si>
  <si>
    <t>Bandages 5cm</t>
  </si>
  <si>
    <t>pair of gloves</t>
  </si>
  <si>
    <t>Gloves non sterile (box 100)</t>
  </si>
  <si>
    <t>Gloves sterile (box 50)</t>
  </si>
  <si>
    <t>Yellow rubbish bags</t>
  </si>
  <si>
    <t>Namebands - Child (pack 100)</t>
  </si>
  <si>
    <t>Namebands - Adult (pack 100)</t>
  </si>
  <si>
    <t>Oral Syringes - 5ml (box 100)</t>
  </si>
  <si>
    <t>Oral Syringes - 10ml (box 100)</t>
  </si>
  <si>
    <t>Plastic Aprons (roll 200)</t>
  </si>
  <si>
    <t>Tissues</t>
  </si>
  <si>
    <t>Stethescope</t>
  </si>
  <si>
    <t>Oxygen saturation probes (non disposable)</t>
  </si>
  <si>
    <t>Urine bottle - disposable (pack 200)</t>
  </si>
  <si>
    <t>Slipper pans -disposable (pack 200)</t>
  </si>
  <si>
    <t>Vomit bowls - disposable (pack 200)</t>
  </si>
  <si>
    <t>Sharps bin small</t>
  </si>
  <si>
    <t>Sharps bin 1 litre</t>
  </si>
  <si>
    <t>Ametop per tube</t>
  </si>
  <si>
    <t>Emla per tube</t>
  </si>
  <si>
    <t>Ethyl chloride spray per canister</t>
  </si>
  <si>
    <t>Dry ice per 10kg bag</t>
  </si>
  <si>
    <t>Adrenaline per ampule</t>
  </si>
  <si>
    <t>Swab nasopharygeal</t>
  </si>
  <si>
    <t>Swab oral</t>
  </si>
  <si>
    <t>Digital thermometer</t>
  </si>
  <si>
    <t>Thermometer dot matrix system single use</t>
  </si>
  <si>
    <t>Pregnancy testing kit</t>
  </si>
  <si>
    <t>Staff travel (est 10mile round trip)</t>
  </si>
  <si>
    <t>Staff travel (est 15mile round trip)</t>
  </si>
  <si>
    <t>Staff travel (est 20mile round trip)</t>
  </si>
  <si>
    <t>Staff travel (est 25mile round trip)</t>
  </si>
  <si>
    <t>Staff travel (est 30mile round trip)</t>
  </si>
  <si>
    <t>Staff travel (est 35mile round trip)</t>
  </si>
  <si>
    <t>Staff travel (est 40mile round trip)</t>
  </si>
  <si>
    <t>Staff travel (est 45mile round trip)</t>
  </si>
  <si>
    <t>Staff travel (est 50mile round trip)</t>
  </si>
  <si>
    <t>WTCRF Room Hire</t>
  </si>
  <si>
    <t>A4 white paper (500 sheets)</t>
  </si>
  <si>
    <t>C5 envelopes (pack 500)</t>
  </si>
  <si>
    <t>DL envelopes (pack 1000)</t>
  </si>
  <si>
    <t>Printer Cartridge - Laser</t>
  </si>
  <si>
    <t>Printer Cartridge - Inkjet</t>
  </si>
  <si>
    <t>First class stamp</t>
  </si>
  <si>
    <t>Equipment</t>
  </si>
  <si>
    <t>Desktop PC</t>
  </si>
  <si>
    <t>Laptop</t>
  </si>
  <si>
    <t>PDA</t>
  </si>
  <si>
    <t>Support Charge (per annum)</t>
  </si>
  <si>
    <t>Laser Printer</t>
  </si>
  <si>
    <t>Laser Printer - network</t>
  </si>
  <si>
    <t>Colour Inkjet</t>
  </si>
  <si>
    <t>Cardiology</t>
  </si>
  <si>
    <t>Audiometry</t>
  </si>
  <si>
    <t>Electrocardiograph</t>
  </si>
  <si>
    <t>DEXA</t>
  </si>
  <si>
    <t>RA15Z</t>
  </si>
  <si>
    <t>Echocardiography</t>
  </si>
  <si>
    <t>Clinical Biochemistry</t>
  </si>
  <si>
    <t>2010/2011 Tariff</t>
  </si>
  <si>
    <t>3 HYDROXYBUTERATE</t>
  </si>
  <si>
    <t>FULL Profile</t>
  </si>
  <si>
    <t>FULL</t>
  </si>
  <si>
    <t>17 OH PROGESTERONE - BLOOD SPOT</t>
  </si>
  <si>
    <t>RENAL PROFILE</t>
  </si>
  <si>
    <t>RE2</t>
  </si>
  <si>
    <t>17 OH PROGESTERONE - SERUM</t>
  </si>
  <si>
    <t>BONE PROFILE</t>
  </si>
  <si>
    <t>BON2</t>
  </si>
  <si>
    <t>17 OH PROGESTERONE - URINE</t>
  </si>
  <si>
    <t>LIVER PROFILE</t>
  </si>
  <si>
    <t>LFT2</t>
  </si>
  <si>
    <t>5 -HIAA</t>
  </si>
  <si>
    <t>TPN PROFILE</t>
  </si>
  <si>
    <t>TPN2</t>
  </si>
  <si>
    <t>18 HYROXY CORTISOL</t>
  </si>
  <si>
    <t>AFP</t>
  </si>
  <si>
    <t>AFPT</t>
  </si>
  <si>
    <t>18 HYROXY CORTISOL (URINE)</t>
  </si>
  <si>
    <t>AMYLASE</t>
  </si>
  <si>
    <t>AMY2</t>
  </si>
  <si>
    <t>ACE</t>
  </si>
  <si>
    <t>AST</t>
  </si>
  <si>
    <t>ACTH</t>
  </si>
  <si>
    <t>BICARBONATE</t>
  </si>
  <si>
    <t>BIC</t>
  </si>
  <si>
    <t>AFP (CSF)</t>
  </si>
  <si>
    <t>BILIRUBIN - DIRECT</t>
  </si>
  <si>
    <t>DB2</t>
  </si>
  <si>
    <t>ALBUMIN (URINE)</t>
  </si>
  <si>
    <t>BILIRUBIN - NEONATAL</t>
  </si>
  <si>
    <t>PBIL</t>
  </si>
  <si>
    <t>ALDOSTERONE</t>
  </si>
  <si>
    <t>CARBAMAZEPINE</t>
  </si>
  <si>
    <t>CARB</t>
  </si>
  <si>
    <t>ALK PHOS ISOENZYMES</t>
  </si>
  <si>
    <t>CHLORIDE</t>
  </si>
  <si>
    <t>CL</t>
  </si>
  <si>
    <t>ALDOSTERONE/RENIN RATIO</t>
  </si>
  <si>
    <t>CHOLESTEROL</t>
  </si>
  <si>
    <t>CHOL</t>
  </si>
  <si>
    <t>ALPHA-1 ANTITRYPSIN</t>
  </si>
  <si>
    <t>CK</t>
  </si>
  <si>
    <t>ALPHA-1 AT PHENOTYPE</t>
  </si>
  <si>
    <t>C-REACTIVE PROTEIN</t>
  </si>
  <si>
    <t>CRPM</t>
  </si>
  <si>
    <t>AMMONIA</t>
  </si>
  <si>
    <t>DIGOXIN</t>
  </si>
  <si>
    <t>DIG</t>
  </si>
  <si>
    <t>AMINO ACIDS (PLASMA)</t>
  </si>
  <si>
    <t>FERRITIN</t>
  </si>
  <si>
    <t>FER2</t>
  </si>
  <si>
    <t>AMINO ACIDS (URINE)</t>
  </si>
  <si>
    <t>FOLATE (PLASMA)</t>
  </si>
  <si>
    <t>FOL2</t>
  </si>
  <si>
    <t>AMIODARONE</t>
  </si>
  <si>
    <t>FREE T3</t>
  </si>
  <si>
    <t>2FT3</t>
  </si>
  <si>
    <t>AMYLASE (FLUID)</t>
  </si>
  <si>
    <t>FREE T4</t>
  </si>
  <si>
    <t>2FT4</t>
  </si>
  <si>
    <t>ANDROSTENEDIONE (BLOOD SPOT)</t>
  </si>
  <si>
    <t>FSH</t>
  </si>
  <si>
    <t>FSH2</t>
  </si>
  <si>
    <t>ANDROSTENEDIONE (PLASMA)</t>
  </si>
  <si>
    <t>GAMMA GT</t>
  </si>
  <si>
    <t>GGT</t>
  </si>
  <si>
    <t>BETA CAROTENE</t>
  </si>
  <si>
    <t>GLUCOSE</t>
  </si>
  <si>
    <t>GLU</t>
  </si>
  <si>
    <t>BILE ACIDS</t>
  </si>
  <si>
    <t xml:space="preserve">hCG </t>
  </si>
  <si>
    <t>HCG</t>
  </si>
  <si>
    <t>BILIRUBIN (URINE)</t>
  </si>
  <si>
    <t>HDL CHOLESTEROL</t>
  </si>
  <si>
    <t>HDL</t>
  </si>
  <si>
    <t>BUPRENORPHINE</t>
  </si>
  <si>
    <t>IRON</t>
  </si>
  <si>
    <t>FE2</t>
  </si>
  <si>
    <t>C-PEPTIDE</t>
  </si>
  <si>
    <t>CA 125</t>
  </si>
  <si>
    <t>CA15-3</t>
  </si>
  <si>
    <t>LDH</t>
  </si>
  <si>
    <t>LD2</t>
  </si>
  <si>
    <t>CA19-9</t>
  </si>
  <si>
    <t>LH</t>
  </si>
  <si>
    <t>LH2</t>
  </si>
  <si>
    <t>CAERULOPLASMIN</t>
  </si>
  <si>
    <t>MAGNESIUM</t>
  </si>
  <si>
    <t>MG</t>
  </si>
  <si>
    <t>CALCITONIN</t>
  </si>
  <si>
    <t>OESTRADIOL</t>
  </si>
  <si>
    <t>E2B2</t>
  </si>
  <si>
    <t>CALCIUM (URINE)</t>
  </si>
  <si>
    <t>PARACETAMOL</t>
  </si>
  <si>
    <t>PCT2</t>
  </si>
  <si>
    <t>CARBOXYHAEMOGLOBIN</t>
  </si>
  <si>
    <t>PHENOBARBITONE</t>
  </si>
  <si>
    <t>PBAR</t>
  </si>
  <si>
    <t>CEA</t>
  </si>
  <si>
    <t>PHENYTOIN</t>
  </si>
  <si>
    <t>PTN</t>
  </si>
  <si>
    <t>CHOLINESTERASE - PHENOTYPE</t>
  </si>
  <si>
    <t>PHOSPHATE</t>
  </si>
  <si>
    <t>IP</t>
  </si>
  <si>
    <t>CHOLINESTERASE SCREEN</t>
  </si>
  <si>
    <t>PROGESTERONE</t>
  </si>
  <si>
    <t>PRG2</t>
  </si>
  <si>
    <t>CHOLINESTERASE RED CELL</t>
  </si>
  <si>
    <t>PROLACTIN</t>
  </si>
  <si>
    <t>2PRL</t>
  </si>
  <si>
    <t>CITRATE (URINE)</t>
  </si>
  <si>
    <t>PSA</t>
  </si>
  <si>
    <t>CK-MB</t>
  </si>
  <si>
    <t>SALICYLATE</t>
  </si>
  <si>
    <t>SAL2</t>
  </si>
  <si>
    <t>CORTISOL (BLOOD SPOT)</t>
  </si>
  <si>
    <t>THEOPHYLLINE</t>
  </si>
  <si>
    <t>THEO</t>
  </si>
  <si>
    <t>CORTISOL (PLASMA)</t>
  </si>
  <si>
    <t>TRANSFERRIN</t>
  </si>
  <si>
    <t>TFN2</t>
  </si>
  <si>
    <t>CORTISOL (SALIVA)</t>
  </si>
  <si>
    <t>TRIGLYCERIDES</t>
  </si>
  <si>
    <t>TRIG</t>
  </si>
  <si>
    <t>CORTISOL (URINE)</t>
  </si>
  <si>
    <t>TROPONIN - I</t>
  </si>
  <si>
    <t>TRO2</t>
  </si>
  <si>
    <t>TSH</t>
  </si>
  <si>
    <t>TSH2</t>
  </si>
  <si>
    <t>CORTISONE (PLASMA)</t>
  </si>
  <si>
    <t>URATE</t>
  </si>
  <si>
    <t>UA2</t>
  </si>
  <si>
    <t>CORTISONE (URINE)</t>
  </si>
  <si>
    <t>VALPROATE</t>
  </si>
  <si>
    <t>VALP</t>
  </si>
  <si>
    <t>COTININE (URINE)</t>
  </si>
  <si>
    <t>VITAMIN B 12</t>
  </si>
  <si>
    <t>VIB2</t>
  </si>
  <si>
    <t>COTININE (PLASMA)</t>
  </si>
  <si>
    <t>11 DEOXY CORTISOL</t>
  </si>
  <si>
    <t>11DC</t>
  </si>
  <si>
    <t>CREATININE CLEARANCE</t>
  </si>
  <si>
    <t>3OHB</t>
  </si>
  <si>
    <t>CREATININE URINE</t>
  </si>
  <si>
    <t>B17P</t>
  </si>
  <si>
    <t>CREATININE FLUID</t>
  </si>
  <si>
    <t>OHP</t>
  </si>
  <si>
    <t>CICLOSPORIN</t>
  </si>
  <si>
    <t>UOHP</t>
  </si>
  <si>
    <t>CYSTINE</t>
  </si>
  <si>
    <t>HIAA</t>
  </si>
  <si>
    <t xml:space="preserve">DEOXYPYRIDINOLINE (DPD) </t>
  </si>
  <si>
    <t>18HC</t>
  </si>
  <si>
    <t>18U</t>
  </si>
  <si>
    <t>DHEA-SULPHATE</t>
  </si>
  <si>
    <t>ACE1</t>
  </si>
  <si>
    <t>DRUG SCREEN</t>
  </si>
  <si>
    <t>ACH</t>
  </si>
  <si>
    <t>ETHANOL</t>
  </si>
  <si>
    <t>LAFP</t>
  </si>
  <si>
    <t>FAECAL ELASTASE</t>
  </si>
  <si>
    <t>UACR</t>
  </si>
  <si>
    <t>FAECAL FAT</t>
  </si>
  <si>
    <t>ALD2</t>
  </si>
  <si>
    <t>FAECAL REDUCING SUBSTANCES</t>
  </si>
  <si>
    <t>API</t>
  </si>
  <si>
    <t>REDUCING SUBSTANCES (URINE)</t>
  </si>
  <si>
    <t>A1A</t>
  </si>
  <si>
    <t>FREE FATTY ACIDS (PLASMA)</t>
  </si>
  <si>
    <t>A1PH</t>
  </si>
  <si>
    <t>GASES (BLOOD)</t>
  </si>
  <si>
    <t>AMN</t>
  </si>
  <si>
    <t>SAMPLE HANDLING CHARGE</t>
  </si>
  <si>
    <t>PAMA</t>
  </si>
  <si>
    <t>GENTAMICIN</t>
  </si>
  <si>
    <t>UAMA</t>
  </si>
  <si>
    <t>GLUCOSE(CSF)</t>
  </si>
  <si>
    <t>AMIO</t>
  </si>
  <si>
    <t>GLUCOSE (FLUID)</t>
  </si>
  <si>
    <t>FAML</t>
  </si>
  <si>
    <t>GLYCINE(CSF)</t>
  </si>
  <si>
    <t>BAD</t>
  </si>
  <si>
    <t>GROWTH HORMONE (SERUM)</t>
  </si>
  <si>
    <t>AD</t>
  </si>
  <si>
    <t>BETC</t>
  </si>
  <si>
    <t>GUT PERMEABILITY</t>
  </si>
  <si>
    <t>BILA</t>
  </si>
  <si>
    <t>HAEM PIGMENTS (CSF)</t>
  </si>
  <si>
    <t>UBIX</t>
  </si>
  <si>
    <t>HBA1c</t>
  </si>
  <si>
    <t>UBUP</t>
  </si>
  <si>
    <t>HCG (CSF)</t>
  </si>
  <si>
    <t>CPE2</t>
  </si>
  <si>
    <t>HOMOCYSTINE</t>
  </si>
  <si>
    <t>12CA</t>
  </si>
  <si>
    <t>HYALURONIC ACID</t>
  </si>
  <si>
    <t>CA15</t>
  </si>
  <si>
    <t>HYDROXYBUTYRATE</t>
  </si>
  <si>
    <t>19CA</t>
  </si>
  <si>
    <t>HYDROXYPROLINE</t>
  </si>
  <si>
    <t>2CEA</t>
  </si>
  <si>
    <t>INSULIN</t>
  </si>
  <si>
    <t>CLN1</t>
  </si>
  <si>
    <t>LACTATE (VENOUS PLASMA)</t>
  </si>
  <si>
    <t>CA24</t>
  </si>
  <si>
    <t>LDH (FLUID)</t>
  </si>
  <si>
    <t>COHB</t>
  </si>
  <si>
    <t>CEAI</t>
  </si>
  <si>
    <t>PCHE</t>
  </si>
  <si>
    <t>MEC1</t>
  </si>
  <si>
    <t>APO- LIPOPROTEIN A-1</t>
  </si>
  <si>
    <t>RCCE</t>
  </si>
  <si>
    <t>APO- LIPOPROTEIN B</t>
  </si>
  <si>
    <t>CIPS</t>
  </si>
  <si>
    <t>LIPOPROTEIN (a)</t>
  </si>
  <si>
    <t>CLOZAPINE</t>
  </si>
  <si>
    <t>CLOZ</t>
  </si>
  <si>
    <t>LITHIUM</t>
  </si>
  <si>
    <t>CKMB</t>
  </si>
  <si>
    <t>MAGNESIUM (RED CELL)</t>
  </si>
  <si>
    <t>BCOR</t>
  </si>
  <si>
    <t>MAGNESIUM (URINE)</t>
  </si>
  <si>
    <t>CORT</t>
  </si>
  <si>
    <t>METHAEMALBUMIN</t>
  </si>
  <si>
    <t>SCOR</t>
  </si>
  <si>
    <t>METHAEMOGLOBIN</t>
  </si>
  <si>
    <t>UCOR</t>
  </si>
  <si>
    <t>METHOTREXATE</t>
  </si>
  <si>
    <t>PCOS</t>
  </si>
  <si>
    <t>MICROSCOPY (FAECAL)</t>
  </si>
  <si>
    <t>MUCOPOLYSACCHARIDE SCREEN</t>
  </si>
  <si>
    <t>UCOT</t>
  </si>
  <si>
    <t>MYOGLOBIN (SERUM)</t>
  </si>
  <si>
    <t>COT</t>
  </si>
  <si>
    <t>MYOGLOBIN (URINE)</t>
  </si>
  <si>
    <t>CRCL</t>
  </si>
  <si>
    <t>NEUROBLASTOMA SCREEN</t>
  </si>
  <si>
    <t>UCR</t>
  </si>
  <si>
    <t>OCCULT BLOOD</t>
  </si>
  <si>
    <t>FCR</t>
  </si>
  <si>
    <t>OUT OF HOURS (EMERGENCY)</t>
  </si>
  <si>
    <t>CYC1</t>
  </si>
  <si>
    <t>ORGANIC ACIDS (URINE)</t>
  </si>
  <si>
    <t>UCYS</t>
  </si>
  <si>
    <t xml:space="preserve">AMINO ACIDS (URINE)/ORGANIC ACIDS (URINE)/ </t>
  </si>
  <si>
    <t>DXPD</t>
  </si>
  <si>
    <t>OROTIC ACID</t>
  </si>
  <si>
    <t>DHAS</t>
  </si>
  <si>
    <t>OSMOLALITY - URINE</t>
  </si>
  <si>
    <t>UTDS</t>
  </si>
  <si>
    <t>OSMOLALITY - PLASMA</t>
  </si>
  <si>
    <t>ETH</t>
  </si>
  <si>
    <t>OXALATE (TIMED URINE)</t>
  </si>
  <si>
    <t>FELS</t>
  </si>
  <si>
    <t>PARAQUAT</t>
  </si>
  <si>
    <t>FF24</t>
  </si>
  <si>
    <t>OXALATE (RANDOM URINE)</t>
  </si>
  <si>
    <t>FRED</t>
  </si>
  <si>
    <t>PHAEOCHROMOCYTOMA SCREEN</t>
  </si>
  <si>
    <t>FFA</t>
  </si>
  <si>
    <t>PENTOBARBITONE</t>
  </si>
  <si>
    <t>AGAS</t>
  </si>
  <si>
    <t>PHENYLALANINE</t>
  </si>
  <si>
    <t>GASTRIN</t>
  </si>
  <si>
    <t>GST</t>
  </si>
  <si>
    <t>POST</t>
  </si>
  <si>
    <t>PHOSPHATE (URINE)</t>
  </si>
  <si>
    <t>LGLU</t>
  </si>
  <si>
    <t>PORPHOBILINOGEN</t>
  </si>
  <si>
    <t>FGLU</t>
  </si>
  <si>
    <t>POTASSIUM (URINE)</t>
  </si>
  <si>
    <t>CGLY</t>
  </si>
  <si>
    <t>PREGNANCY TEST (URINE)</t>
  </si>
  <si>
    <t>GH</t>
  </si>
  <si>
    <t>P3NP</t>
  </si>
  <si>
    <t>PROTEIN CREATINE RATIO (URINE)</t>
  </si>
  <si>
    <t>HPG</t>
  </si>
  <si>
    <t>PROTEIN (URINE)</t>
  </si>
  <si>
    <t>A1C</t>
  </si>
  <si>
    <t>PROTEIN (CSF)</t>
  </si>
  <si>
    <t>HCTE</t>
  </si>
  <si>
    <t>PROTEIN (FLUID)</t>
  </si>
  <si>
    <t>HA</t>
  </si>
  <si>
    <t>PTH</t>
  </si>
  <si>
    <t>OHB</t>
  </si>
  <si>
    <t>RENIN</t>
  </si>
  <si>
    <t>UHP</t>
  </si>
  <si>
    <t>SHBG</t>
  </si>
  <si>
    <t>INS</t>
  </si>
  <si>
    <t>SIROLIMUS</t>
  </si>
  <si>
    <t>LACT</t>
  </si>
  <si>
    <t>SODIUM (URINE)</t>
  </si>
  <si>
    <t>FLDH</t>
  </si>
  <si>
    <t xml:space="preserve">IGF-1 SOMATOMEDIN C </t>
  </si>
  <si>
    <t>STONE ANALYSIS - FTIR</t>
  </si>
  <si>
    <t>SUGAR CHROMATOGRAPHY FAECAL</t>
  </si>
  <si>
    <t>SUGAR CHROMATOGRAPHY URINE</t>
  </si>
  <si>
    <t>SWEAT TEST</t>
  </si>
  <si>
    <t>TESTOSTERONE</t>
  </si>
  <si>
    <t>THYROGLOBULIN</t>
  </si>
  <si>
    <t>LI</t>
  </si>
  <si>
    <t>THYROGLOBULIN ANTIBODIES</t>
  </si>
  <si>
    <t>RCMG</t>
  </si>
  <si>
    <t xml:space="preserve">THYROGLOBULIN TITRE </t>
  </si>
  <si>
    <t>UMG</t>
  </si>
  <si>
    <t>TOBRAMYCIN</t>
  </si>
  <si>
    <t>MTHA</t>
  </si>
  <si>
    <t>TPMT</t>
  </si>
  <si>
    <t>MTHB</t>
  </si>
  <si>
    <t>TREX</t>
  </si>
  <si>
    <t>URINE  ANALYSIS</t>
  </si>
  <si>
    <t>FM</t>
  </si>
  <si>
    <t>UREA (URINE)</t>
  </si>
  <si>
    <t>EMUC</t>
  </si>
  <si>
    <t>URATE (URINE)</t>
  </si>
  <si>
    <t>MYO</t>
  </si>
  <si>
    <t>UROBILINOGEN</t>
  </si>
  <si>
    <t>UYMO</t>
  </si>
  <si>
    <t>UROPORPHYRIN</t>
  </si>
  <si>
    <t>NEUR</t>
  </si>
  <si>
    <t>VANCOMYCIN</t>
  </si>
  <si>
    <t>FHB</t>
  </si>
  <si>
    <t>VITAMIN A (PLASMA)</t>
  </si>
  <si>
    <t>OUT OF HOURS WORK</t>
  </si>
  <si>
    <t>OOH</t>
  </si>
  <si>
    <t>VITAMIN A &amp; E (PLASMA)</t>
  </si>
  <si>
    <t>UORG</t>
  </si>
  <si>
    <t>VITAMIN C</t>
  </si>
  <si>
    <t>UAO</t>
  </si>
  <si>
    <t>VITAMIN D (25OHCC)</t>
  </si>
  <si>
    <t>UORT</t>
  </si>
  <si>
    <t>TACROLIMUS</t>
  </si>
  <si>
    <t>UOSM</t>
  </si>
  <si>
    <t>OSM</t>
  </si>
  <si>
    <t>VITAMIN E (PLASMA)</t>
  </si>
  <si>
    <t>OX24</t>
  </si>
  <si>
    <t>VITAMINS A E &amp; D IGF1</t>
  </si>
  <si>
    <t>PQT</t>
  </si>
  <si>
    <t>DOXEPIN</t>
  </si>
  <si>
    <t>OXC</t>
  </si>
  <si>
    <t>CYSTINE / CREATININE</t>
  </si>
  <si>
    <t>METS</t>
  </si>
  <si>
    <t>TSH RECEPTOR ANTIBODIES</t>
  </si>
  <si>
    <t>PHE</t>
  </si>
  <si>
    <t>UPO</t>
  </si>
  <si>
    <t>UPG</t>
  </si>
  <si>
    <t>PORPHYRIN (BLOOD)</t>
  </si>
  <si>
    <t>BPOR</t>
  </si>
  <si>
    <t>PORPHYRIN (FAECAL)</t>
  </si>
  <si>
    <t>FPOR</t>
  </si>
  <si>
    <t>PORPHYRIN (URINE)</t>
  </si>
  <si>
    <t>UK</t>
  </si>
  <si>
    <t>UHCG</t>
  </si>
  <si>
    <t>PCRU</t>
  </si>
  <si>
    <t>UPRT</t>
  </si>
  <si>
    <t>LTP</t>
  </si>
  <si>
    <t>FTP</t>
  </si>
  <si>
    <t>PTH1</t>
  </si>
  <si>
    <t>EN01</t>
  </si>
  <si>
    <t>SIRO</t>
  </si>
  <si>
    <t>UNA</t>
  </si>
  <si>
    <t>SOMATOMEDIN C  IGF-1</t>
  </si>
  <si>
    <t>1IGF</t>
  </si>
  <si>
    <t>STONE ANALYSIS</t>
  </si>
  <si>
    <t>STO2</t>
  </si>
  <si>
    <t>SUGF</t>
  </si>
  <si>
    <t>SUGU</t>
  </si>
  <si>
    <t>LASW</t>
  </si>
  <si>
    <t>TAC7</t>
  </si>
  <si>
    <t>TES2</t>
  </si>
  <si>
    <t>TGS2</t>
  </si>
  <si>
    <t>TGT1</t>
  </si>
  <si>
    <t>URAN</t>
  </si>
  <si>
    <t>UUR</t>
  </si>
  <si>
    <t>UUA</t>
  </si>
  <si>
    <t>UUBX</t>
  </si>
  <si>
    <t>UUP</t>
  </si>
  <si>
    <t>VA1</t>
  </si>
  <si>
    <t>VITS</t>
  </si>
  <si>
    <t>TOVD</t>
  </si>
  <si>
    <t>VITAMIN D (1-25 OH2 CC)</t>
  </si>
  <si>
    <t>2OHD</t>
  </si>
  <si>
    <t>VE1</t>
  </si>
  <si>
    <t>DOX</t>
  </si>
  <si>
    <t>CSCR</t>
  </si>
  <si>
    <t>TSHA</t>
  </si>
  <si>
    <t>ALUMINIUM (OTHER)</t>
  </si>
  <si>
    <t>ZAL</t>
  </si>
  <si>
    <t>ALUMINIUM (PLASMA)</t>
  </si>
  <si>
    <t>PAL</t>
  </si>
  <si>
    <t>ALUMINIUM (URINE)</t>
  </si>
  <si>
    <t>UAL</t>
  </si>
  <si>
    <t>ANTIMONY (BLOOD)</t>
  </si>
  <si>
    <t>BSB</t>
  </si>
  <si>
    <t>ANTIMONY (not reported)</t>
  </si>
  <si>
    <t>UANT</t>
  </si>
  <si>
    <t>Trace Elements</t>
  </si>
  <si>
    <t>ANTIMONY (OTHER)</t>
  </si>
  <si>
    <t>ZSB</t>
  </si>
  <si>
    <t>ANTIMONY (PLASMA)</t>
  </si>
  <si>
    <t>ANTIMONY (URINE)</t>
  </si>
  <si>
    <t>ARSENIC (BLOOD)</t>
  </si>
  <si>
    <t>ARSENIC (OTHER)</t>
  </si>
  <si>
    <t>ARSENIC (URINE)</t>
  </si>
  <si>
    <t>BARIUM (OTHER)</t>
  </si>
  <si>
    <t>USB</t>
  </si>
  <si>
    <t>BARIUM (PLASMA)</t>
  </si>
  <si>
    <t>BAS</t>
  </si>
  <si>
    <t>BARIUM (URINE)</t>
  </si>
  <si>
    <t>ZAS</t>
  </si>
  <si>
    <t>BERYLLIUM (OTHER)</t>
  </si>
  <si>
    <t>UAS</t>
  </si>
  <si>
    <t>BERYLLIUM (PLASMA)</t>
  </si>
  <si>
    <t>ZBA</t>
  </si>
  <si>
    <t>BERYLLIUM (URINE)</t>
  </si>
  <si>
    <t>PBA</t>
  </si>
  <si>
    <t>BISMUTH (BLOOD)</t>
  </si>
  <si>
    <t>UBA</t>
  </si>
  <si>
    <t>BISMUTH (OTHER)</t>
  </si>
  <si>
    <t>ZBE</t>
  </si>
  <si>
    <t>BISMUTH (URINE)</t>
  </si>
  <si>
    <t>PBE</t>
  </si>
  <si>
    <t>BORON  (PLASMA)</t>
  </si>
  <si>
    <t>UBE</t>
  </si>
  <si>
    <t>BORON (URINE)</t>
  </si>
  <si>
    <t>BBI</t>
  </si>
  <si>
    <t>CADMIUM (BLOOD)</t>
  </si>
  <si>
    <t>ZBI</t>
  </si>
  <si>
    <t>CADMIUM (none reportable)</t>
  </si>
  <si>
    <t>UBI</t>
  </si>
  <si>
    <t>CADMIUM (OTHER)</t>
  </si>
  <si>
    <t>PBO</t>
  </si>
  <si>
    <t>CADMIUM (URINE)</t>
  </si>
  <si>
    <t>UB</t>
  </si>
  <si>
    <t>CHROMIUM (BLOOD)</t>
  </si>
  <si>
    <t>BCD</t>
  </si>
  <si>
    <t>CHROMIUM (non report)</t>
  </si>
  <si>
    <t>UCAD</t>
  </si>
  <si>
    <t>CHROMIUM (OTHER)</t>
  </si>
  <si>
    <t>ZCD</t>
  </si>
  <si>
    <t>CHROMIUM (PLASMA)</t>
  </si>
  <si>
    <t>UCD</t>
  </si>
  <si>
    <t>CHROMIUM (URINE)</t>
  </si>
  <si>
    <t>BCHR</t>
  </si>
  <si>
    <t>COBALT (BLOOD)</t>
  </si>
  <si>
    <t>UCRO</t>
  </si>
  <si>
    <t>COBALT (OTHER)</t>
  </si>
  <si>
    <t>ZCR</t>
  </si>
  <si>
    <t>COBALT (PLASMA)</t>
  </si>
  <si>
    <t>PCHR</t>
  </si>
  <si>
    <t>COBALT (URINE)</t>
  </si>
  <si>
    <t>UCHR</t>
  </si>
  <si>
    <t>COPPER</t>
  </si>
  <si>
    <t>COBALT</t>
  </si>
  <si>
    <t>BCO</t>
  </si>
  <si>
    <t>COPPER (24 HOUR URINE)</t>
  </si>
  <si>
    <t>ZCO</t>
  </si>
  <si>
    <t>COPPER (LIVER)</t>
  </si>
  <si>
    <t>PCO</t>
  </si>
  <si>
    <t>COPPER (OTHER)</t>
  </si>
  <si>
    <t>UCOB</t>
  </si>
  <si>
    <t>COPPER (PLASMA)</t>
  </si>
  <si>
    <t>WCOP</t>
  </si>
  <si>
    <t>COPPER (URINE)</t>
  </si>
  <si>
    <t>CU24</t>
  </si>
  <si>
    <t>GOLD (OTHER)</t>
  </si>
  <si>
    <t>LCU</t>
  </si>
  <si>
    <t>GOLD (PLASMA)</t>
  </si>
  <si>
    <t>ZCU</t>
  </si>
  <si>
    <t>GOLD (URINE)</t>
  </si>
  <si>
    <t>PCU</t>
  </si>
  <si>
    <t>IODINE</t>
  </si>
  <si>
    <t>UCU</t>
  </si>
  <si>
    <t>IODINE (PLASMA)</t>
  </si>
  <si>
    <t>ZAU</t>
  </si>
  <si>
    <t>IRON (LIVER)</t>
  </si>
  <si>
    <t>PAU</t>
  </si>
  <si>
    <t>IRON (OTHER)</t>
  </si>
  <si>
    <t>UAU</t>
  </si>
  <si>
    <t>IRON (URINE)</t>
  </si>
  <si>
    <t>UI</t>
  </si>
  <si>
    <t>LEAD (BLOOD)</t>
  </si>
  <si>
    <t>LEAD (non reportable)</t>
  </si>
  <si>
    <t>LFE</t>
  </si>
  <si>
    <t>LEAD (OTHER)</t>
  </si>
  <si>
    <t>ZFE</t>
  </si>
  <si>
    <t>LEAD (URINE)</t>
  </si>
  <si>
    <t>UFE</t>
  </si>
  <si>
    <t>MANGANESE (BLOOD)</t>
  </si>
  <si>
    <t>BPB</t>
  </si>
  <si>
    <t>MANGANESE (OTHER)</t>
  </si>
  <si>
    <t>ULED</t>
  </si>
  <si>
    <t>MANGANESE (URINE)</t>
  </si>
  <si>
    <t>ZPB</t>
  </si>
  <si>
    <t>MERCURY (BLOOD)</t>
  </si>
  <si>
    <t>UPB</t>
  </si>
  <si>
    <t>MERCURY (OTHER)</t>
  </si>
  <si>
    <t>BMN</t>
  </si>
  <si>
    <t>MERCURY (URINE)</t>
  </si>
  <si>
    <t>ZMN</t>
  </si>
  <si>
    <t>MOLYBDENUM (BLOOD)</t>
  </si>
  <si>
    <t>UMN</t>
  </si>
  <si>
    <t>MOLYBDENUM (OTHER)</t>
  </si>
  <si>
    <t>BHG</t>
  </si>
  <si>
    <t>MOLYBDENUM (PLASMA)</t>
  </si>
  <si>
    <t>ZHG</t>
  </si>
  <si>
    <t>MOLYBDENUM (URINE)</t>
  </si>
  <si>
    <t>UHG</t>
  </si>
  <si>
    <t>NICKEL (OTHER)</t>
  </si>
  <si>
    <t>MOLYBDENUM</t>
  </si>
  <si>
    <t>BMO</t>
  </si>
  <si>
    <t>NICKEL (PLASMA)</t>
  </si>
  <si>
    <t>ZMO</t>
  </si>
  <si>
    <t>NICKEL (URINE)</t>
  </si>
  <si>
    <t>PMO</t>
  </si>
  <si>
    <t>PLATINUM (BLOOD)</t>
  </si>
  <si>
    <t>UMO</t>
  </si>
  <si>
    <t>PLATINUM (OTHER)</t>
  </si>
  <si>
    <t>ZNI</t>
  </si>
  <si>
    <t>PLATINUM (URINE)</t>
  </si>
  <si>
    <t>PNI</t>
  </si>
  <si>
    <t>SELENIUM</t>
  </si>
  <si>
    <t>UNI</t>
  </si>
  <si>
    <t>SELENIUM  (PLASMA)</t>
  </si>
  <si>
    <t>BPT</t>
  </si>
  <si>
    <t>SELENIUM (OTHER)</t>
  </si>
  <si>
    <t>ZPT</t>
  </si>
  <si>
    <t>SELENIUM (URINE)</t>
  </si>
  <si>
    <t>UPT</t>
  </si>
  <si>
    <t>SILICON (OTHER)</t>
  </si>
  <si>
    <t>BSE</t>
  </si>
  <si>
    <t>SILICON (PLASMA)</t>
  </si>
  <si>
    <t>PSE</t>
  </si>
  <si>
    <t>SILICON (URINE)</t>
  </si>
  <si>
    <t>ZSE</t>
  </si>
  <si>
    <t xml:space="preserve">SILVER </t>
  </si>
  <si>
    <t>USE</t>
  </si>
  <si>
    <t>SILVER (BLOOD)</t>
  </si>
  <si>
    <t>ZSI</t>
  </si>
  <si>
    <t>SILVER (OTHER)</t>
  </si>
  <si>
    <t>PSI</t>
  </si>
  <si>
    <t>SILVER (URINE)</t>
  </si>
  <si>
    <t>USI</t>
  </si>
  <si>
    <t>STRONTIUM (OTHER)</t>
  </si>
  <si>
    <t>AG</t>
  </si>
  <si>
    <t>STRONTIUM (PLASMA)</t>
  </si>
  <si>
    <t>BAG</t>
  </si>
  <si>
    <t>STRONTIUM (URINE)</t>
  </si>
  <si>
    <t>ZAG</t>
  </si>
  <si>
    <t>TELLURIUM (BLOOD)</t>
  </si>
  <si>
    <t>UAG</t>
  </si>
  <si>
    <t>TELLURIUM (OTHER)</t>
  </si>
  <si>
    <t>ZSR</t>
  </si>
  <si>
    <t>TELLURIUM (PLASMA)</t>
  </si>
  <si>
    <t>PSR</t>
  </si>
  <si>
    <t>TELLURIUM (URINE)</t>
  </si>
  <si>
    <t>USR</t>
  </si>
  <si>
    <t>THALLIUM (BLOOD)</t>
  </si>
  <si>
    <t>BTE</t>
  </si>
  <si>
    <t>THALLIUM (URINE)</t>
  </si>
  <si>
    <t>ZTE</t>
  </si>
  <si>
    <t>TIN (BLOOD)</t>
  </si>
  <si>
    <t>PTE</t>
  </si>
  <si>
    <t>TIN (OTHER)</t>
  </si>
  <si>
    <t>UTE</t>
  </si>
  <si>
    <t>TIN (PLASMA)</t>
  </si>
  <si>
    <t>BTL</t>
  </si>
  <si>
    <t>TIN (URINE)</t>
  </si>
  <si>
    <t>UTL</t>
  </si>
  <si>
    <t>TITANIUM (OTHER)</t>
  </si>
  <si>
    <t>BSN</t>
  </si>
  <si>
    <t>TITANIUM (PLASMA)</t>
  </si>
  <si>
    <t>ZSN</t>
  </si>
  <si>
    <t>TITANIUM (URINE)</t>
  </si>
  <si>
    <t>PSN</t>
  </si>
  <si>
    <t>TUNGSTEN (PLASMA)</t>
  </si>
  <si>
    <t>USN</t>
  </si>
  <si>
    <t>TUNGSTEN (URINE)</t>
  </si>
  <si>
    <t>ZTI</t>
  </si>
  <si>
    <t>URANIUM (URINE not reported)</t>
  </si>
  <si>
    <t>PTI</t>
  </si>
  <si>
    <t>URANIUM (URINE)</t>
  </si>
  <si>
    <t>UTI</t>
  </si>
  <si>
    <t>VANADIUM (OTHER)</t>
  </si>
  <si>
    <t>INTRINSIC FACTOR ASSAY</t>
  </si>
  <si>
    <t>INTF</t>
  </si>
  <si>
    <t>VANADIUM (PLASMA)</t>
  </si>
  <si>
    <t>PW</t>
  </si>
  <si>
    <t>VANADIUM (URINE)</t>
  </si>
  <si>
    <t>UW</t>
  </si>
  <si>
    <t>ZINC (BLOOD)</t>
  </si>
  <si>
    <t>UURA</t>
  </si>
  <si>
    <t>ZINC (OTHER)</t>
  </si>
  <si>
    <t xml:space="preserve">UU </t>
  </si>
  <si>
    <t>ZINC (PLASMA)</t>
  </si>
  <si>
    <t>ZV</t>
  </si>
  <si>
    <t>ZINC (URINE)</t>
  </si>
  <si>
    <t>PVA</t>
  </si>
  <si>
    <t>COBALT &amp; CHROMIUM (BLOOD)</t>
  </si>
  <si>
    <t>UV</t>
  </si>
  <si>
    <t>COBALT &amp; CHROMIUM (PLASMA)</t>
  </si>
  <si>
    <t>BZN</t>
  </si>
  <si>
    <t>COPPER + ZINC (PLASMA)</t>
  </si>
  <si>
    <t>ZZN</t>
  </si>
  <si>
    <t>COPPER + ZINC + SELENIUM (PLASMA)</t>
  </si>
  <si>
    <t>PZN</t>
  </si>
  <si>
    <t>UZN</t>
  </si>
  <si>
    <t>TOXIC SCREEN (ALL METALS (BLOOD/URIINE)</t>
  </si>
  <si>
    <t>NS1</t>
  </si>
  <si>
    <t>NS2</t>
  </si>
  <si>
    <t>LEAD ISOTOPES RATIO (BLOOD/SOURCES OF LEAD)</t>
  </si>
  <si>
    <t>BFMS</t>
  </si>
  <si>
    <t>HAEMATOLOGY</t>
  </si>
  <si>
    <t>HAEMATOLOGY/COAGULATION</t>
  </si>
  <si>
    <t>FULL BLOOD COUNT</t>
  </si>
  <si>
    <t>FILM</t>
  </si>
  <si>
    <t>ACID ELUTION (EOSIN)</t>
  </si>
  <si>
    <t>AE</t>
  </si>
  <si>
    <t>ESR</t>
  </si>
  <si>
    <t>MALARIAL SCREEN</t>
  </si>
  <si>
    <t>IM SCREEN</t>
  </si>
  <si>
    <t>CLOTTING SCREEN</t>
  </si>
  <si>
    <t>ACTIVATED PARTIAL THROMBOPLASTIN TIME</t>
  </si>
  <si>
    <t>INR - INTERNATIONAL NORMALISED RATIO</t>
  </si>
  <si>
    <t>D-DIMER ASSAY</t>
  </si>
  <si>
    <t>HAEMOGLOBIN ELECTROPHORESIS (HPLC)</t>
  </si>
  <si>
    <t>ACID ELUTION (GEIMSA)</t>
  </si>
  <si>
    <t>ABSOLUTE RETICULOCYTES</t>
  </si>
  <si>
    <t>AGAR GEL ELECTROPHORESIS</t>
  </si>
  <si>
    <t>AGAR</t>
  </si>
  <si>
    <t>BONE MARROW PROCESSING</t>
  </si>
  <si>
    <t>BM1</t>
  </si>
  <si>
    <t>BONE MARROW TREPHINE PROCESSING</t>
  </si>
  <si>
    <t>BM2</t>
  </si>
  <si>
    <t>DOUBLE ESTERASE</t>
  </si>
  <si>
    <t>CYC</t>
  </si>
  <si>
    <t>ASCITIC FLUID WHITW COUNT</t>
  </si>
  <si>
    <t>CYTOSPIN</t>
  </si>
  <si>
    <t>CYT</t>
  </si>
  <si>
    <t>AUTOHAEMOLOGYSIS</t>
  </si>
  <si>
    <t>DIFFERENTIAL COUNT (MANUAL)</t>
  </si>
  <si>
    <t>DIF</t>
  </si>
  <si>
    <t>AUTOHAEMOLOGYSIS (GLUCOSE)</t>
  </si>
  <si>
    <t>F</t>
  </si>
  <si>
    <t>AUT</t>
  </si>
  <si>
    <t>CHEMILUMINESCENCE TEST (NBS)</t>
  </si>
  <si>
    <t>AUTG</t>
  </si>
  <si>
    <t>CITRATE KAOLIN TEG</t>
  </si>
  <si>
    <t>FBC</t>
  </si>
  <si>
    <t>FBC (RSH)</t>
  </si>
  <si>
    <t>FBCR</t>
  </si>
  <si>
    <t>D EPITOPES</t>
  </si>
  <si>
    <t>ASF</t>
  </si>
  <si>
    <t>CKT</t>
  </si>
  <si>
    <t>SUDAN BLACK STAIN</t>
  </si>
  <si>
    <t>DEPI</t>
  </si>
  <si>
    <t>G6PD ASSAY</t>
  </si>
  <si>
    <t>G6PD</t>
  </si>
  <si>
    <t>G6PD SCREEN</t>
  </si>
  <si>
    <t>GLOBULIN CHAIN ELECTROPHORESIS</t>
  </si>
  <si>
    <t>GCEP</t>
  </si>
  <si>
    <t>GENOTYPE</t>
  </si>
  <si>
    <t>GENO</t>
  </si>
  <si>
    <t>GLUTATHIONE ASSAY</t>
  </si>
  <si>
    <t>GLTH</t>
  </si>
  <si>
    <t>GPDS</t>
  </si>
  <si>
    <t>HAEMOGLOBIN A2 ASSAY</t>
  </si>
  <si>
    <t>HAMM'S TEST</t>
  </si>
  <si>
    <t>HAMS</t>
  </si>
  <si>
    <t>HAEMOGLOBIN C ASSAY</t>
  </si>
  <si>
    <t>HbA2</t>
  </si>
  <si>
    <t>HAEMOGLOBIN D ASSAY</t>
  </si>
  <si>
    <t>HbC</t>
  </si>
  <si>
    <t>HAEMOGLOBIN E ASSAY</t>
  </si>
  <si>
    <t>HbD</t>
  </si>
  <si>
    <t>HAEMOGLOBIN F ASSAY</t>
  </si>
  <si>
    <t>HbE</t>
  </si>
  <si>
    <t>HAEMOGLOBIN H BODIES</t>
  </si>
  <si>
    <t>HbF</t>
  </si>
  <si>
    <t>HAEMOGLOBIN S ASSAY</t>
  </si>
  <si>
    <t>HBOD</t>
  </si>
  <si>
    <t>HbS</t>
  </si>
  <si>
    <t>HEINZ BODIES</t>
  </si>
  <si>
    <t>URINARY HAEMOSIDERIN /IRON STAIN</t>
  </si>
  <si>
    <t>HSN</t>
  </si>
  <si>
    <t>MALARIAL KIT</t>
  </si>
  <si>
    <t>HZNB</t>
  </si>
  <si>
    <t>OSMOTIC FRAGILITY (FRESH)</t>
  </si>
  <si>
    <t>IM</t>
  </si>
  <si>
    <t>OSMOTIC FRAGILITY (INCUBATED)</t>
  </si>
  <si>
    <t>MA</t>
  </si>
  <si>
    <t>PLEURAL ASPIRATE</t>
  </si>
  <si>
    <t>MK</t>
  </si>
  <si>
    <t>PYRUVATE KINASE SCREEN</t>
  </si>
  <si>
    <t>OSM1</t>
  </si>
  <si>
    <t>RED CELL PORPHYRINS</t>
  </si>
  <si>
    <t>OSM2</t>
  </si>
  <si>
    <t>SHUMM'S TEST</t>
  </si>
  <si>
    <t>PA</t>
  </si>
  <si>
    <t>SICKLE SCREEN (confirm sickledex)</t>
  </si>
  <si>
    <t>PK</t>
  </si>
  <si>
    <t>SOLUBLE TRANSFERIN RECEPTOR</t>
  </si>
  <si>
    <t>RCPH</t>
  </si>
  <si>
    <t>MRET</t>
  </si>
  <si>
    <t>SCHU</t>
  </si>
  <si>
    <t>ANTITHROMBIN III ASSAY</t>
  </si>
  <si>
    <t>ST</t>
  </si>
  <si>
    <t>APTR (50:50 CORRECTION)</t>
  </si>
  <si>
    <t>STR</t>
  </si>
  <si>
    <t>BLEEDING TIME (IN VITRO)</t>
  </si>
  <si>
    <t>HEPARIN ANTI-Xa ASSAY</t>
  </si>
  <si>
    <t>ANXA</t>
  </si>
  <si>
    <t>BLEEDING TIME (IN VIVO)</t>
  </si>
  <si>
    <t>APTR</t>
  </si>
  <si>
    <t>FACTOR II ASSAY</t>
  </si>
  <si>
    <t>AT3</t>
  </si>
  <si>
    <t>FACTOR IX ASSAY</t>
  </si>
  <si>
    <t>BTA</t>
  </si>
  <si>
    <t>FACTOR IX INHIBITOR ASSAY (if this is inhib assay price is very wrong)</t>
  </si>
  <si>
    <t>BTP</t>
  </si>
  <si>
    <t>FACTOR V ASSAY</t>
  </si>
  <si>
    <t>CS</t>
  </si>
  <si>
    <t>FACTOR VII ASSAY</t>
  </si>
  <si>
    <t>DD</t>
  </si>
  <si>
    <t>FACTOR VIII ASSAY</t>
  </si>
  <si>
    <t>FIBRIN DEGRADATION PRODUCTS</t>
  </si>
  <si>
    <t>FACTOR VIII INHIBITOR (if this is inhib assay -price is very wrong)</t>
  </si>
  <si>
    <t>FACTOR X ASSAY</t>
  </si>
  <si>
    <t>F10</t>
  </si>
  <si>
    <t>FACTOR XI ASSAY</t>
  </si>
  <si>
    <t>F11</t>
  </si>
  <si>
    <t>FACTOR XII ASSAY</t>
  </si>
  <si>
    <t>F12</t>
  </si>
  <si>
    <t>FACTOR XIII ASSAY</t>
  </si>
  <si>
    <t>F13</t>
  </si>
  <si>
    <t>FACTOR XIII SCREEN</t>
  </si>
  <si>
    <t>F13S</t>
  </si>
  <si>
    <t>F2</t>
  </si>
  <si>
    <t>F5</t>
  </si>
  <si>
    <t>FIBRINOGEN (ANTIGEN)</t>
  </si>
  <si>
    <t>F7</t>
  </si>
  <si>
    <t>HEPARIN</t>
  </si>
  <si>
    <t>F8</t>
  </si>
  <si>
    <t>F8I</t>
  </si>
  <si>
    <t>INHIBITOR SCREEN</t>
  </si>
  <si>
    <t>F9</t>
  </si>
  <si>
    <t>INR (50:50 CORRECTION)</t>
  </si>
  <si>
    <t>F9I</t>
  </si>
  <si>
    <t>LUPUS-LIKE ANTOCOAGULANT</t>
  </si>
  <si>
    <t>FIBA</t>
  </si>
  <si>
    <t>PLASMINOGEN ASSAY</t>
  </si>
  <si>
    <t>HEP</t>
  </si>
  <si>
    <t>PLASMONOGEN ACTIVATOR INHIBITOR</t>
  </si>
  <si>
    <t>INHB</t>
  </si>
  <si>
    <t>PLATELET FUNCTION ANALYSIS (PFA100)</t>
  </si>
  <si>
    <t>INR</t>
  </si>
  <si>
    <t>PLATLET AGGREGATION &amp; RISTOCETIN INDUCED PLATLET AGGREGATION</t>
  </si>
  <si>
    <t>LA</t>
  </si>
  <si>
    <t>POST-OCCLUSION PLASMINOGEN ACTIVATOR ASSAY</t>
  </si>
  <si>
    <t>VWF MULTIMER BANDING (sent to Basingstoke)</t>
  </si>
  <si>
    <t>MULT</t>
  </si>
  <si>
    <t>PRE-OCCLUSION PLASMINOGEN ACTIVATOR ASSAY</t>
  </si>
  <si>
    <t>NPCA</t>
  </si>
  <si>
    <t>PROTEIN C ASSAY</t>
  </si>
  <si>
    <t>NPCI</t>
  </si>
  <si>
    <t>PROTEIN S (FREE ANTIGEN)</t>
  </si>
  <si>
    <t>PAGG</t>
  </si>
  <si>
    <t>RISTIOCETIN CO-FACTOR ASSAY</t>
  </si>
  <si>
    <t>PFA</t>
  </si>
  <si>
    <t>RUSSEL VIPER VENOM ASSAY (WAS KCT)</t>
  </si>
  <si>
    <t>PAI1</t>
  </si>
  <si>
    <t>THROMBIN TIME</t>
  </si>
  <si>
    <t>VWF ACTIVITY</t>
  </si>
  <si>
    <t>VWF ANTIGEN</t>
  </si>
  <si>
    <t>PCAC</t>
  </si>
  <si>
    <t>PLAC</t>
  </si>
  <si>
    <t>WARFARIN</t>
  </si>
  <si>
    <t>PSAC</t>
  </si>
  <si>
    <t>WARFARIN + HEPARIN</t>
  </si>
  <si>
    <t>RICF</t>
  </si>
  <si>
    <t>AUTOMATED GROUP &amp; SCREEN</t>
  </si>
  <si>
    <t>RUSSEL VIPER VENOM ASSAY</t>
  </si>
  <si>
    <t>RVVT</t>
  </si>
  <si>
    <t>BLOOD GROUP (AUTOMATED)</t>
  </si>
  <si>
    <t>TTR</t>
  </si>
  <si>
    <t>ANTIBODY SCREEN (AUTOMATED)</t>
  </si>
  <si>
    <t>VWAC</t>
  </si>
  <si>
    <t>ELECTRONIC CROSS MATCH</t>
  </si>
  <si>
    <t>WARF</t>
  </si>
  <si>
    <t>VWF1</t>
  </si>
  <si>
    <t>WH</t>
  </si>
  <si>
    <t>50:50 PLASMA NEUTRALISATION</t>
  </si>
  <si>
    <t>ACID ELUTION</t>
  </si>
  <si>
    <t>AET</t>
  </si>
  <si>
    <t>COLD AGGLUTININ SCREEN</t>
  </si>
  <si>
    <t>AGG</t>
  </si>
  <si>
    <t>AGP</t>
  </si>
  <si>
    <t>AGS</t>
  </si>
  <si>
    <t>HBEP</t>
  </si>
  <si>
    <t>T-ACTIVATED RED CELLS</t>
  </si>
  <si>
    <t>ANTIBODY REFERRAL</t>
  </si>
  <si>
    <t>AR</t>
  </si>
  <si>
    <t>AAS</t>
  </si>
  <si>
    <t>BIRMINGHAM IAG PANEL</t>
  </si>
  <si>
    <t>BCP</t>
  </si>
  <si>
    <t>BIRMINGHAM ENZYME PANEL</t>
  </si>
  <si>
    <t>BEP</t>
  </si>
  <si>
    <t>CAMBRIDGE IAG PANEL</t>
  </si>
  <si>
    <t>CCP</t>
  </si>
  <si>
    <t>CAMBRIDGE ENZYME PANEL</t>
  </si>
  <si>
    <t>CEP</t>
  </si>
  <si>
    <t>CROSS MATCH</t>
  </si>
  <si>
    <t>CM1</t>
  </si>
  <si>
    <t>CM2</t>
  </si>
  <si>
    <t>CM3</t>
  </si>
  <si>
    <t>CM4</t>
  </si>
  <si>
    <t>CM5</t>
  </si>
  <si>
    <t>COOMBES TEST - DIRECT</t>
  </si>
  <si>
    <t>DAT</t>
  </si>
  <si>
    <t>DIAMED IAG PANEL</t>
  </si>
  <si>
    <t>DCP</t>
  </si>
  <si>
    <t>DIAMED ENZYME PANEL</t>
  </si>
  <si>
    <t>DEP</t>
  </si>
  <si>
    <t>DUFFY PHENOTYPE</t>
  </si>
  <si>
    <t>DUFFY</t>
  </si>
  <si>
    <t>EMERGENCY O Rh NEG ISSUE</t>
  </si>
  <si>
    <t>EMO-</t>
  </si>
  <si>
    <t>HEPARIN INDUCED THROMBOCYTOPENIA</t>
  </si>
  <si>
    <t>EXM</t>
  </si>
  <si>
    <t>HLA CYTOTOXIC ANTIBODY SCREEN (NBS)</t>
  </si>
  <si>
    <t>EXM2</t>
  </si>
  <si>
    <t>KPA TYPE</t>
  </si>
  <si>
    <t>EXM3</t>
  </si>
  <si>
    <t>KIDD PHENOTYPE</t>
  </si>
  <si>
    <t>EXM4</t>
  </si>
  <si>
    <t>KLEIHAUER TEST</t>
  </si>
  <si>
    <t>EXM5</t>
  </si>
  <si>
    <t>ANTI-KPA</t>
  </si>
  <si>
    <t>EXM6</t>
  </si>
  <si>
    <t>ANTIBODY SCREEN (MANUAL)</t>
  </si>
  <si>
    <t>HEPARIN INDUCED HEPARIN</t>
  </si>
  <si>
    <t>HIT</t>
  </si>
  <si>
    <t>COOMBES TEST - MONOSPECIFIC</t>
  </si>
  <si>
    <t>HLA</t>
  </si>
  <si>
    <t>BLOOD GROUP (MANUAL)</t>
  </si>
  <si>
    <t>K3</t>
  </si>
  <si>
    <t>M TYPE / N TYPE</t>
  </si>
  <si>
    <t>KIDD</t>
  </si>
  <si>
    <t>NATIONAL BLOOD SERVICE ENZYME PANEL</t>
  </si>
  <si>
    <t>KL</t>
  </si>
  <si>
    <t>NEUTROPHIL SEROLOGY (NBS)</t>
  </si>
  <si>
    <t>KPA</t>
  </si>
  <si>
    <t>NATIONAL BLOOD SERVICE IAG PANEL</t>
  </si>
  <si>
    <t>MAS</t>
  </si>
  <si>
    <t>PLATELET SEROLOGY (NBS)</t>
  </si>
  <si>
    <t>MDAT</t>
  </si>
  <si>
    <t>ANTIBODY QUANTITATION (NBS)</t>
  </si>
  <si>
    <t>MGP</t>
  </si>
  <si>
    <t>RHESUS PENOTYPE</t>
  </si>
  <si>
    <t>MN</t>
  </si>
  <si>
    <t>ROOM TEMP PANEL (BIRMINGHAM)</t>
  </si>
  <si>
    <t>NEP</t>
  </si>
  <si>
    <t>ROOM TEMP PANEL (DIAMED)</t>
  </si>
  <si>
    <t>NIAP</t>
  </si>
  <si>
    <t>COLD AGGLUTININ TITRE</t>
  </si>
  <si>
    <t>RHP</t>
  </si>
  <si>
    <t>SS TYPE</t>
  </si>
  <si>
    <t>SCAT</t>
  </si>
  <si>
    <t>ANTIBODY TITRE (NBS)</t>
  </si>
  <si>
    <t>SS</t>
  </si>
  <si>
    <t>IAT PANEL  POST ZZAP</t>
  </si>
  <si>
    <t>ZZPAN</t>
  </si>
  <si>
    <t>ANTIT</t>
  </si>
  <si>
    <t>IMMUNOLOGY</t>
  </si>
  <si>
    <t>ADRENAL ANTIBODIES</t>
  </si>
  <si>
    <t>ACETYL CHOLINE RECEPTOR ANTIBODY (sent away)</t>
  </si>
  <si>
    <t>ACHR</t>
  </si>
  <si>
    <t>ANA (see connective tissue ANA screen)</t>
  </si>
  <si>
    <t>ADR</t>
  </si>
  <si>
    <t>ANCA - ANTI-NEUTROPHIL CYTO ANTIBODIES</t>
  </si>
  <si>
    <t>ALLERGEN SPECIFIC IgE PANEL (PER PANEL)</t>
  </si>
  <si>
    <t>ANTI CARDIOLIPIN IgG &amp; IgM</t>
  </si>
  <si>
    <t>ANTI C1 ESTERASE ANTIBODY</t>
  </si>
  <si>
    <t>ANTI RI (ANNA-2) NEURONAL ANTIBODY (CSF)</t>
  </si>
  <si>
    <t>ANTI RI (ANNA-2) NEURONAL ANTIBODY (sent away)</t>
  </si>
  <si>
    <t>ANTI-COLLEGEN TYPE 2(send away)</t>
  </si>
  <si>
    <t>ANTI-CHOLINESTERASE Ab(send away)</t>
  </si>
  <si>
    <t>AMYLOID-A(send away)</t>
  </si>
  <si>
    <t>ANTI-C1Q ANTIBODY</t>
  </si>
  <si>
    <t>ANTI-IGA ANTIBODY (send away)</t>
  </si>
  <si>
    <t>AQUAPORIN 4 (Send away)</t>
  </si>
  <si>
    <t>Free at moment</t>
  </si>
  <si>
    <t>ASPERGILLUS PRECIPITINS</t>
  </si>
  <si>
    <t>AVIAN PRECIPITINS</t>
  </si>
  <si>
    <t>BETA 2 GLYCOPROTEIN 1</t>
  </si>
  <si>
    <t xml:space="preserve">BETA 2 MICROGLOBULIN (NON HAZARDOUS) </t>
  </si>
  <si>
    <t>BETA 2 MICROGLOBULIN URINE</t>
  </si>
  <si>
    <t xml:space="preserve">C1 ESTERASE INHIBITOR  </t>
  </si>
  <si>
    <t xml:space="preserve">C1 ESTERASE INHIBITOR FUNCTIONAL ASSAY </t>
  </si>
  <si>
    <t xml:space="preserve">C3 NEPHRITIC FACTOR  </t>
  </si>
  <si>
    <t>CARDIAC MUSCLE ANTIBODY</t>
  </si>
  <si>
    <t>CARTILAGE ANTIBODY (sent away)</t>
  </si>
  <si>
    <t>COMPONENT RESOLVED DIAGNOSIS</t>
  </si>
  <si>
    <t xml:space="preserve">CENTROMERE </t>
  </si>
  <si>
    <t xml:space="preserve">CH50(FUNCTIONAL COMPLEMENT ASSAY)+C3C4 </t>
  </si>
  <si>
    <t>COMPLEMENT C3C4</t>
  </si>
  <si>
    <t>COMPLEMENT COMPONENT C2</t>
  </si>
  <si>
    <t>ALT'VE COMPLEMENT PATHWAY FACTOR H</t>
  </si>
  <si>
    <t>ALT'VE COMPLEMENT PATHWAY AP50</t>
  </si>
  <si>
    <t>ALT'VE COMP PATHWAY -ELISA</t>
  </si>
  <si>
    <t>CLASSICAL COMP PATHWAT- ELISA</t>
  </si>
  <si>
    <t>COMPLEMENT MANNIN BINDING LECTINS</t>
  </si>
  <si>
    <t>CONNECTIVE TISSUE ANA SCREEN</t>
  </si>
  <si>
    <t xml:space="preserve">CRYOGLOBULIN </t>
  </si>
  <si>
    <t xml:space="preserve">CSF ALBUMIN </t>
  </si>
  <si>
    <t>CSF Analysis (IgG Alb and OCBS)</t>
  </si>
  <si>
    <t>CSF CALCULATION NO COST</t>
  </si>
  <si>
    <t>CSF IGG</t>
  </si>
  <si>
    <t>CSF IMMUNOELECTROPHORESIS</t>
  </si>
  <si>
    <t>DNA  ANTIBODIES</t>
  </si>
  <si>
    <t>ENA EXTENDED SCREEN</t>
  </si>
  <si>
    <t>ENA PROFILE</t>
  </si>
  <si>
    <t>ENA SCREEN</t>
  </si>
  <si>
    <t>ENDOMYSIAL ANTIBODY IGA</t>
  </si>
  <si>
    <t>ENDOMYSIAL ANTIBODY IGG</t>
  </si>
  <si>
    <t>ENTEROCYTE ANTIBODY (sent away)</t>
  </si>
  <si>
    <t>ALLERGEN SPECIFIC IgE SINGLE (PER ALLERGEN)</t>
  </si>
  <si>
    <t>FARMER'S LUNG PRECIPITINS</t>
  </si>
  <si>
    <t xml:space="preserve">ALMOND </t>
  </si>
  <si>
    <t>F20</t>
  </si>
  <si>
    <t>FREE LIGHT CHAINS (SERUM)</t>
  </si>
  <si>
    <t>CANT</t>
  </si>
  <si>
    <t>FUNCTIONAL ANTIBODIES (PNEUMO IgG 1&amp;2 TETANUS IgG HAEM B)</t>
  </si>
  <si>
    <t>ANCA</t>
  </si>
  <si>
    <t>GASTRIC PARIETAL CELL ANTIBODY</t>
  </si>
  <si>
    <t xml:space="preserve">ANIMAL PANEL 1(CAT EPITHELIUM-HORSE DANDER-COW DANDER- DOG DANDER)   </t>
  </si>
  <si>
    <t>EP1</t>
  </si>
  <si>
    <t xml:space="preserve">GLOMERULAR BASEMENT MEMBRANE ANTIBODY </t>
  </si>
  <si>
    <t xml:space="preserve">ANTI CARDIOLIPIN </t>
  </si>
  <si>
    <t>ACLA</t>
  </si>
  <si>
    <t>HAEMOPHILUS B</t>
  </si>
  <si>
    <t>CRI</t>
  </si>
  <si>
    <t>HEP2</t>
  </si>
  <si>
    <t>RI</t>
  </si>
  <si>
    <t xml:space="preserve">HISTONE ABS </t>
  </si>
  <si>
    <t>ACT2</t>
  </si>
  <si>
    <t>IGA LOW CONCENTRATION</t>
  </si>
  <si>
    <t>ACHO</t>
  </si>
  <si>
    <t xml:space="preserve">IGG SUBCLASSES </t>
  </si>
  <si>
    <t>AMY</t>
  </si>
  <si>
    <t>IMMUNOELECTROPHORESIS (URINE)</t>
  </si>
  <si>
    <t>AC1Q</t>
  </si>
  <si>
    <t>IMMUNOELECTROPHORESIS (SERUM)</t>
  </si>
  <si>
    <t>AGA</t>
  </si>
  <si>
    <t>IMMUNOFIXATION (IFIX)</t>
  </si>
  <si>
    <t xml:space="preserve">ASPERGILLUS FUMIGATUS </t>
  </si>
  <si>
    <t>M3</t>
  </si>
  <si>
    <t xml:space="preserve">IMMUNOGLOBULIN D </t>
  </si>
  <si>
    <t>ASPP</t>
  </si>
  <si>
    <t xml:space="preserve">IMMUNOGLOBULIN E </t>
  </si>
  <si>
    <t>AVACADO</t>
  </si>
  <si>
    <t>F96</t>
  </si>
  <si>
    <t>IMMUNOGLOBULIN IGA</t>
  </si>
  <si>
    <t>AVPP</t>
  </si>
  <si>
    <t>IMMUNOGLOBULIN IGG</t>
  </si>
  <si>
    <t>BANANA</t>
  </si>
  <si>
    <t>F92</t>
  </si>
  <si>
    <t>IMMUNOGLOBULIN IGM</t>
  </si>
  <si>
    <t>ABG1</t>
  </si>
  <si>
    <t xml:space="preserve">IMMUNOGLOBULINS + SERUM ELECTROPHORESIS </t>
  </si>
  <si>
    <t>B2MI</t>
  </si>
  <si>
    <t>INSULIN ANTIBODIES (send away)</t>
  </si>
  <si>
    <t>B2U</t>
  </si>
  <si>
    <t>BIRCH POLLEN</t>
  </si>
  <si>
    <t>T3</t>
  </si>
  <si>
    <t xml:space="preserve">ISLET CELL ANTIBODY </t>
  </si>
  <si>
    <t xml:space="preserve">BRAZIL NUT </t>
  </si>
  <si>
    <t>F18</t>
  </si>
  <si>
    <t>COMPLEMENT C2</t>
  </si>
  <si>
    <t>CEST</t>
  </si>
  <si>
    <t xml:space="preserve">ISOELECTRIC FOCUSING (CSF) </t>
  </si>
  <si>
    <t>C1F</t>
  </si>
  <si>
    <t xml:space="preserve">ISOELECTRIC FOCUSING (SERUM OR URINE) </t>
  </si>
  <si>
    <t>C3NF</t>
  </si>
  <si>
    <t>KAPPA BJP</t>
  </si>
  <si>
    <t>CACAO</t>
  </si>
  <si>
    <t>F93</t>
  </si>
  <si>
    <t>LAMDA BJP</t>
  </si>
  <si>
    <t>CAGEBIRD FEATHER MIX (Budgie Canary Parakeet Parrot Finch)</t>
  </si>
  <si>
    <t>EX72</t>
  </si>
  <si>
    <t>LIVER SCREEN</t>
  </si>
  <si>
    <t>CARDIAC MUSCLE ANTIBODY (sent away)</t>
  </si>
  <si>
    <t>CARD</t>
  </si>
  <si>
    <t xml:space="preserve">M2 MITOCHONDRIAL ANTIBODY </t>
  </si>
  <si>
    <t>CART</t>
  </si>
  <si>
    <t>MPO ANTIBODIES</t>
  </si>
  <si>
    <t>CASHEW NUT</t>
  </si>
  <si>
    <t>F202</t>
  </si>
  <si>
    <t>MPO ANTIBODIES (NEW METHOD)</t>
  </si>
  <si>
    <t xml:space="preserve">CAT EPITHELIUM </t>
  </si>
  <si>
    <t>E1</t>
  </si>
  <si>
    <t>NUCLEOSOMES</t>
  </si>
  <si>
    <t>CCP1</t>
  </si>
  <si>
    <t xml:space="preserve">OVARIAN ANTIBODY </t>
  </si>
  <si>
    <t>CENT</t>
  </si>
  <si>
    <t>PARATHYROID ANTIBODY (sent away)</t>
  </si>
  <si>
    <t>CH50</t>
  </si>
  <si>
    <t xml:space="preserve">PEMPHIGOID/PEMPHIGUS ANTIBODYSKIN </t>
  </si>
  <si>
    <t xml:space="preserve">CHEESE- CHEDDAR TYPE </t>
  </si>
  <si>
    <t>F81</t>
  </si>
  <si>
    <t>PITUITARY ANTIBODY (sent away)</t>
  </si>
  <si>
    <t xml:space="preserve">CHICKEN MEAT </t>
  </si>
  <si>
    <t>F83</t>
  </si>
  <si>
    <t>PNEUMOCCOCCUS</t>
  </si>
  <si>
    <t>CHLORHEXIDINE</t>
  </si>
  <si>
    <t>C8</t>
  </si>
  <si>
    <t>PREVNAR ASSAY</t>
  </si>
  <si>
    <t>COCONUT</t>
  </si>
  <si>
    <t>F36</t>
  </si>
  <si>
    <t>PR3 ANTIBODIES</t>
  </si>
  <si>
    <t xml:space="preserve">CODFISH </t>
  </si>
  <si>
    <t>F3</t>
  </si>
  <si>
    <t>PR3 ANTIBODIES (NEW METHOD)</t>
  </si>
  <si>
    <t>C3C4</t>
  </si>
  <si>
    <t>PARANEOPLASTIC ANTIBODY</t>
  </si>
  <si>
    <t>CCC2</t>
  </si>
  <si>
    <t>PURKINJE CELL ANTIBODY (CSF)</t>
  </si>
  <si>
    <t>FACH</t>
  </si>
  <si>
    <t>PURKINJE CELL ANTIBODY (SERUM)</t>
  </si>
  <si>
    <t>CRYO</t>
  </si>
  <si>
    <t>CALB</t>
  </si>
  <si>
    <t>GLOMERULAR BASEMENT MEMBRANE QUANTITATIVE</t>
  </si>
  <si>
    <t>OCBS</t>
  </si>
  <si>
    <t>RHEUMATOID FACTOR SCREEN</t>
  </si>
  <si>
    <t>CSFI</t>
  </si>
  <si>
    <t>RHEUMATOID FACTOR TITRE</t>
  </si>
  <si>
    <t>CIEP</t>
  </si>
  <si>
    <t>RNP</t>
  </si>
  <si>
    <t>DND1</t>
  </si>
  <si>
    <t>SALIVARY ALBUMIN</t>
  </si>
  <si>
    <t xml:space="preserve">DOG DANDER </t>
  </si>
  <si>
    <t>E5</t>
  </si>
  <si>
    <t xml:space="preserve">SALIVARY GLAND ANTIBODY </t>
  </si>
  <si>
    <t xml:space="preserve">EGG WHITE </t>
  </si>
  <si>
    <t>F1</t>
  </si>
  <si>
    <t>SALIVARY IGA</t>
  </si>
  <si>
    <t xml:space="preserve">EGG YOLK </t>
  </si>
  <si>
    <t>F75</t>
  </si>
  <si>
    <t>SCANNED MONOCLONAL COMPONENT</t>
  </si>
  <si>
    <t>ENAX</t>
  </si>
  <si>
    <t xml:space="preserve">SERUM ALBUMIN </t>
  </si>
  <si>
    <t>ENAP</t>
  </si>
  <si>
    <t xml:space="preserve">SERUM ELECTROPHORESIS PART OF IGS </t>
  </si>
  <si>
    <t>ENAS</t>
  </si>
  <si>
    <t>SERUM HAPTOGLOBINS</t>
  </si>
  <si>
    <t>ENDO</t>
  </si>
  <si>
    <t>SKELETAL MUSCLE ANTIBODY</t>
  </si>
  <si>
    <t>ENDG</t>
  </si>
  <si>
    <t>SM</t>
  </si>
  <si>
    <t>ENTA</t>
  </si>
  <si>
    <t>SSA</t>
  </si>
  <si>
    <t>FLPP</t>
  </si>
  <si>
    <t>SSB</t>
  </si>
  <si>
    <t xml:space="preserve">FOOD PANEL 1(PEANUT-HAZELNUT-BRAZIL NUT-ALMOND-COCONUT) </t>
  </si>
  <si>
    <t>FP1</t>
  </si>
  <si>
    <t xml:space="preserve">STEROID CELL ANTIBODIES </t>
  </si>
  <si>
    <t xml:space="preserve">FOOD PANEL 3(WHEAT-OAT-CORN-SESAME SEED-BUCKWHEAT) </t>
  </si>
  <si>
    <t>FP3</t>
  </si>
  <si>
    <t>TETANUS IGG TOTAL</t>
  </si>
  <si>
    <t xml:space="preserve">FOOD PANEL 5 (EGG WHITE-MILK-WHEAT-PEANUT-SOYABEAN) </t>
  </si>
  <si>
    <t>FP5</t>
  </si>
  <si>
    <t>THYROID PEROXIDASE ANTIBODY</t>
  </si>
  <si>
    <t xml:space="preserve">FOOD PANEL2(CODFISH-SHRIMP-BLUE MUSSEL-TUNA-SALMON) </t>
  </si>
  <si>
    <t>FP2</t>
  </si>
  <si>
    <t>TISSUE TRANSGLUTAMINASE IgA</t>
  </si>
  <si>
    <t>HIB</t>
  </si>
  <si>
    <t>TISSUE TRANSGLUTAMINASE IgG</t>
  </si>
  <si>
    <t>GANGLIOSIDE ANTIBODIES (sent away)</t>
  </si>
  <si>
    <t>GQ1B</t>
  </si>
  <si>
    <t xml:space="preserve">TRYPTASE </t>
  </si>
  <si>
    <t>GPC</t>
  </si>
  <si>
    <t>UNLABELLED SAMPLE</t>
  </si>
  <si>
    <t>GBM</t>
  </si>
  <si>
    <t>ELECTROPHORESIS URINE (BJP)</t>
  </si>
  <si>
    <t xml:space="preserve">GLUTEN </t>
  </si>
  <si>
    <t>F79</t>
  </si>
  <si>
    <t>IMMUNOELECTROPHORESIS  (URINE)</t>
  </si>
  <si>
    <t>GM1 ANTIBODIES (sent away)</t>
  </si>
  <si>
    <t>GM1</t>
  </si>
  <si>
    <t>ISOELECTRIC FOCUSING  (URINE)</t>
  </si>
  <si>
    <t>GRASS POLLEN MIX</t>
  </si>
  <si>
    <t>GP1</t>
  </si>
  <si>
    <t>VOLTAGE GATED CALCIUM CHANNEL(SENDAWAY)</t>
  </si>
  <si>
    <t>HAEM</t>
  </si>
  <si>
    <t>VOLTAGE GATED POTASSIUM CHANNEL (send away)</t>
  </si>
  <si>
    <t xml:space="preserve">HAZELNUT </t>
  </si>
  <si>
    <t>F17</t>
  </si>
  <si>
    <t>HIST</t>
  </si>
  <si>
    <t xml:space="preserve">HONEY BEE VENOM </t>
  </si>
  <si>
    <t>I1</t>
  </si>
  <si>
    <t>AMOXICILLIN</t>
  </si>
  <si>
    <t xml:space="preserve">HORSE DANDER </t>
  </si>
  <si>
    <t>E3</t>
  </si>
  <si>
    <t>AMPICILLIN</t>
  </si>
  <si>
    <t xml:space="preserve">HOUSE DUST MITE </t>
  </si>
  <si>
    <t>D1</t>
  </si>
  <si>
    <t>ALC</t>
  </si>
  <si>
    <t>SUBS</t>
  </si>
  <si>
    <t>IEP</t>
  </si>
  <si>
    <t>IMMUNOELECTROPHORESIS (IEP)</t>
  </si>
  <si>
    <t>IFIX</t>
  </si>
  <si>
    <t>RIGD</t>
  </si>
  <si>
    <t>IGE</t>
  </si>
  <si>
    <t>RIGA</t>
  </si>
  <si>
    <t>RIGG</t>
  </si>
  <si>
    <t>RIGM</t>
  </si>
  <si>
    <t>IGS</t>
  </si>
  <si>
    <t>ICA</t>
  </si>
  <si>
    <t>CIEF</t>
  </si>
  <si>
    <t>IEF</t>
  </si>
  <si>
    <t>KBJP</t>
  </si>
  <si>
    <t>KIWI FRUIT</t>
  </si>
  <si>
    <t>F84</t>
  </si>
  <si>
    <t>LBJP</t>
  </si>
  <si>
    <t>LATEX ALLERGEN</t>
  </si>
  <si>
    <t>K82</t>
  </si>
  <si>
    <t>EGG (WHOLE)</t>
  </si>
  <si>
    <t>LEMON ALLERGEN</t>
  </si>
  <si>
    <t>F208</t>
  </si>
  <si>
    <t>LAIP</t>
  </si>
  <si>
    <t>M2</t>
  </si>
  <si>
    <t xml:space="preserve">MILK </t>
  </si>
  <si>
    <t>F2M</t>
  </si>
  <si>
    <t xml:space="preserve">MOLD PANEL 1(PENICILLIUM NOTATUM-CLADOSPORIUM HERBARUM-ASPERGILLUS FUMIGATUS-CANDIDA ALBICANS-ALTERNARIA TENIUS) </t>
  </si>
  <si>
    <t>MP1</t>
  </si>
  <si>
    <t>OAT</t>
  </si>
  <si>
    <t>MPO</t>
  </si>
  <si>
    <t>OVOMUCOID</t>
  </si>
  <si>
    <t>MUSCLE SPECIFIC KINASE (SEND AWAY)</t>
  </si>
  <si>
    <t>MUSK</t>
  </si>
  <si>
    <t>rArah2</t>
  </si>
  <si>
    <t>MYELIN ASSOCIATED GLYCOPROTEIN</t>
  </si>
  <si>
    <t>AMAG</t>
  </si>
  <si>
    <t>rArah8</t>
  </si>
  <si>
    <t>ORANGE</t>
  </si>
  <si>
    <t>F33</t>
  </si>
  <si>
    <t>rCora8</t>
  </si>
  <si>
    <t>NULC</t>
  </si>
  <si>
    <t>GELOFUSIN</t>
  </si>
  <si>
    <t>OVAB</t>
  </si>
  <si>
    <t>PTHY</t>
  </si>
  <si>
    <t>PECAN NUT</t>
  </si>
  <si>
    <t>F201</t>
  </si>
  <si>
    <t>PEANUT</t>
  </si>
  <si>
    <t>F13M</t>
  </si>
  <si>
    <t>SKIN</t>
  </si>
  <si>
    <t xml:space="preserve">PENICILLIN G </t>
  </si>
  <si>
    <t>P10</t>
  </si>
  <si>
    <t xml:space="preserve">PENICILLIN V </t>
  </si>
  <si>
    <t>P20</t>
  </si>
  <si>
    <t>PISTACHIO NUT</t>
  </si>
  <si>
    <t>F203</t>
  </si>
  <si>
    <t>PITY</t>
  </si>
  <si>
    <t>PGT</t>
  </si>
  <si>
    <t>LIPID TRANSFER PROTEIN (Pru-P3)</t>
  </si>
  <si>
    <t>POULTRY FEATHER MIX(Goose Chicken Duck Turkey)</t>
  </si>
  <si>
    <t>EX71</t>
  </si>
  <si>
    <t>PR3</t>
  </si>
  <si>
    <t>CYO</t>
  </si>
  <si>
    <t>MORPHINE (QUATERNARY AMMONIUM)</t>
  </si>
  <si>
    <t>CHU</t>
  </si>
  <si>
    <t>HU</t>
  </si>
  <si>
    <t>OMEGA-5-GLIADIN</t>
  </si>
  <si>
    <t>YO</t>
  </si>
  <si>
    <t>QUALITATIVE GLOMERULAR BASEMENT MEMBRANE</t>
  </si>
  <si>
    <t>GBMQ</t>
  </si>
  <si>
    <t>RFS2</t>
  </si>
  <si>
    <t>RFT</t>
  </si>
  <si>
    <t>SIGA</t>
  </si>
  <si>
    <t>SALB</t>
  </si>
  <si>
    <t>RAST COMMENT NO COST</t>
  </si>
  <si>
    <t>HSAL</t>
  </si>
  <si>
    <t>SALMON</t>
  </si>
  <si>
    <t>RALB</t>
  </si>
  <si>
    <t xml:space="preserve">SESAME </t>
  </si>
  <si>
    <t>ELEC</t>
  </si>
  <si>
    <t>SHRIMP/PRAWN</t>
  </si>
  <si>
    <t>HPT</t>
  </si>
  <si>
    <t xml:space="preserve">SOYBEAN </t>
  </si>
  <si>
    <t>F10M</t>
  </si>
  <si>
    <t>STAPH ENTEROTOXIN B (SEB)</t>
  </si>
  <si>
    <t>SKEL</t>
  </si>
  <si>
    <t>STRAWBERRY</t>
  </si>
  <si>
    <t>SUXAMETHONIUM</t>
  </si>
  <si>
    <t>F14</t>
  </si>
  <si>
    <t xml:space="preserve">TIMOTHY GRASS POLLEN </t>
  </si>
  <si>
    <t>TOMATO</t>
  </si>
  <si>
    <t xml:space="preserve">TREE PANEL 6 (MAPLE-BOX ELDER-BIRCH-BEECH-OAK-WALNUT) </t>
  </si>
  <si>
    <t>STAB</t>
  </si>
  <si>
    <t>WALNUT</t>
  </si>
  <si>
    <t>F44</t>
  </si>
  <si>
    <t xml:space="preserve">WHEAT </t>
  </si>
  <si>
    <t>TET</t>
  </si>
  <si>
    <t xml:space="preserve">YELLOW JACKET VENOM (WASP) </t>
  </si>
  <si>
    <t>TPO</t>
  </si>
  <si>
    <t>ABSOLUTE CELL COUNTS</t>
  </si>
  <si>
    <t>G6</t>
  </si>
  <si>
    <t>ACUTE MYELOID</t>
  </si>
  <si>
    <t>TTGA</t>
  </si>
  <si>
    <t>CD40</t>
  </si>
  <si>
    <t>F25</t>
  </si>
  <si>
    <t>CD4T</t>
  </si>
  <si>
    <t>TP6</t>
  </si>
  <si>
    <t>COMMON VARIABLE IMMUNODEFFICIENCY SCREEN</t>
  </si>
  <si>
    <t>TRYP</t>
  </si>
  <si>
    <t xml:space="preserve">IMMUNODEFICIENCY SCREEN NEW PATIENT </t>
  </si>
  <si>
    <t>ULS</t>
  </si>
  <si>
    <t>URINE ELECTROPHORESIS</t>
  </si>
  <si>
    <t>BJP</t>
  </si>
  <si>
    <t xml:space="preserve">NEUTOPHIL OXIDATIVE BURST </t>
  </si>
  <si>
    <t xml:space="preserve">URINE IMMUNOELECTROPHORESIS </t>
  </si>
  <si>
    <t>UIEP</t>
  </si>
  <si>
    <t xml:space="preserve">URINE ISOELECTRIC FOCUSING </t>
  </si>
  <si>
    <t>UIEF</t>
  </si>
  <si>
    <t>HLA B27 - inappropriate sample</t>
  </si>
  <si>
    <t>F256</t>
  </si>
  <si>
    <t>T-CELL ACTIVATION</t>
  </si>
  <si>
    <t>F4</t>
  </si>
  <si>
    <t>LYMPHOCYTE PROLIFERATION (PHA)</t>
  </si>
  <si>
    <t>I3</t>
  </si>
  <si>
    <t>PAROXYMAL NOCTURNAL HAEMAGLOBINUREA SCREEN</t>
  </si>
  <si>
    <t>A</t>
  </si>
  <si>
    <t>PRIMARY LEUKAEMIA/LYMPHOMA SCREEN</t>
  </si>
  <si>
    <t>AMLE</t>
  </si>
  <si>
    <t xml:space="preserve">MONITORING ALL </t>
  </si>
  <si>
    <t>C5</t>
  </si>
  <si>
    <t>MONITORING AML</t>
  </si>
  <si>
    <t>C6</t>
  </si>
  <si>
    <t>REDUCED ACUTE LEUKAEMIA SCREEN</t>
  </si>
  <si>
    <t>F7M</t>
  </si>
  <si>
    <t>REDUCED TALL</t>
  </si>
  <si>
    <t>F233</t>
  </si>
  <si>
    <t>RITUXIMAB THERAPY</t>
  </si>
  <si>
    <t>F423</t>
  </si>
  <si>
    <t>SECONDARY B CELL LYMPHOMA SCREEN</t>
  </si>
  <si>
    <t>F425</t>
  </si>
  <si>
    <t>IMMUNE MONITORING</t>
  </si>
  <si>
    <t>C74</t>
  </si>
  <si>
    <t>TCR ALPHA BETA</t>
  </si>
  <si>
    <t>F41</t>
  </si>
  <si>
    <t>TCR GAMMA DELTA</t>
  </si>
  <si>
    <t>LYMPHOCYTE SUBSETS</t>
  </si>
  <si>
    <t>T-CELL RECEPTOR</t>
  </si>
  <si>
    <t>CVID</t>
  </si>
  <si>
    <t>SECONDARY T SCREEN</t>
  </si>
  <si>
    <t xml:space="preserve">HAIRY CELL LEUKAEMIA </t>
  </si>
  <si>
    <t>HC</t>
  </si>
  <si>
    <t>TDT</t>
  </si>
  <si>
    <t>ID</t>
  </si>
  <si>
    <t>T-CELL MEMORY SUBSETS</t>
  </si>
  <si>
    <t>LDS</t>
  </si>
  <si>
    <t xml:space="preserve">HLA B27 </t>
  </si>
  <si>
    <t>B27</t>
  </si>
  <si>
    <t>B27C</t>
  </si>
  <si>
    <t>LEUKAEMIA SCREEN/ MONITORING PANEL-1</t>
  </si>
  <si>
    <t>TCV</t>
  </si>
  <si>
    <t>LEUKAEMIA SCREEN/ MONITORING PANEL-10</t>
  </si>
  <si>
    <t>PHA</t>
  </si>
  <si>
    <t>LEUKAEMIA SCREEN/ MONITORING PANEL-2</t>
  </si>
  <si>
    <t>PNH</t>
  </si>
  <si>
    <t>LEUKAEMIA SCREEN/ MONITORING PANEL-3</t>
  </si>
  <si>
    <t>PRIMARY SCREEN</t>
  </si>
  <si>
    <t>PS</t>
  </si>
  <si>
    <t>LEUKAEMIA SCREEN/ MONITORING PANEL-4</t>
  </si>
  <si>
    <t>LEUKAEMIA SCREEN/ MONITORING PANEL-5</t>
  </si>
  <si>
    <t>LEUKAEMIA SCREEN/ MONITORING PANEL-6</t>
  </si>
  <si>
    <t>LEUKAEMIA SCREEN/ MONITORING PANEL-7</t>
  </si>
  <si>
    <t>LEUKAEMIA SCREEN/ MONITORING PANEL-8</t>
  </si>
  <si>
    <t>LEUKAEMIA SCREEN/ MONITORING PANEL-9</t>
  </si>
  <si>
    <t>MATURE B CELLMARKERS PANEL1</t>
  </si>
  <si>
    <t>MATURE B CELLMARKERS PANEL2</t>
  </si>
  <si>
    <t>MEMORY B CELLS SUBSETS</t>
  </si>
  <si>
    <t>RALL</t>
  </si>
  <si>
    <t>MEMORY T-CELL  SUBSETS</t>
  </si>
  <si>
    <t>RAML</t>
  </si>
  <si>
    <t>MYELOPROLIFERATIVE MDS SCREEN</t>
  </si>
  <si>
    <t>REDUCED ACUTE SCREEN</t>
  </si>
  <si>
    <t>RAS</t>
  </si>
  <si>
    <t>MYELOMA SCREEN/MONITORING</t>
  </si>
  <si>
    <t>RTAL</t>
  </si>
  <si>
    <t>NK-NKT CELL SUBSETS</t>
  </si>
  <si>
    <t>RTX</t>
  </si>
  <si>
    <t>PRIMARY B CELL CLONALITY</t>
  </si>
  <si>
    <t>SECONDARY B SCREEN</t>
  </si>
  <si>
    <t>SB</t>
  </si>
  <si>
    <t>PRIMARY LYMPHOCYTE SUBSETS</t>
  </si>
  <si>
    <t>TBNK</t>
  </si>
  <si>
    <t>PRIMARY T CELL SUBSETS</t>
  </si>
  <si>
    <t>TCAB</t>
  </si>
  <si>
    <t>SECONDARY B CELL MATURATION MARKERS</t>
  </si>
  <si>
    <t>TCGD</t>
  </si>
  <si>
    <t>T CELL SUBSETS</t>
  </si>
  <si>
    <t>TCRA</t>
  </si>
  <si>
    <t>TBNK CELL MARKERS</t>
  </si>
  <si>
    <t>TCS</t>
  </si>
  <si>
    <t>TM</t>
  </si>
  <si>
    <t>MOLECULAR BIOLOGY</t>
  </si>
  <si>
    <t>IMMUNODEFIC. CASES (INCL. PCR1 &amp; TCRD)</t>
  </si>
  <si>
    <t>LIGHT CHAIN REARRANGEMENTS</t>
  </si>
  <si>
    <t>IgGHD-J GENER REARRANGEMENTS</t>
  </si>
  <si>
    <t>IGH</t>
  </si>
  <si>
    <t>PARAFFIN PCR INCL. PCR1 &amp; MW MARKER</t>
  </si>
  <si>
    <t>PARAFFIN PCR INCL. PCR1- MW &amp; IgL (suspected B cell disease)</t>
  </si>
  <si>
    <t>PCR STANDARD REQUEST FOR ALL TCRS &amp; IgH</t>
  </si>
  <si>
    <t>PCR (IGH-TCR BETA GAMMA)</t>
  </si>
  <si>
    <t>PCR FRESH SAMPLES B CELL SUSPECTED (INCL. PCR1 &amp; IgL)</t>
  </si>
  <si>
    <t>PCR HANDLING CHARGE</t>
  </si>
  <si>
    <t>REQUEST FOR TCR ONLY</t>
  </si>
  <si>
    <t>TCRVB SPECTRATYPING</t>
  </si>
  <si>
    <t>TCR(BETA GAMMA)</t>
  </si>
  <si>
    <t>TCR DELTA</t>
  </si>
  <si>
    <t>TCRG</t>
  </si>
  <si>
    <t>T(11:14) TRANSLOCATION</t>
  </si>
  <si>
    <t>T(14:18) TRANSLOCATION</t>
  </si>
  <si>
    <t>BCR-ABL QUANTITATION 1</t>
  </si>
  <si>
    <t>BCR-ABL QUANTITATION 2</t>
  </si>
  <si>
    <t>BCR-ABL QUANTITATION 1 + 2</t>
  </si>
  <si>
    <t>HLA B57</t>
  </si>
  <si>
    <t>BEHCETS</t>
  </si>
  <si>
    <t>IDEF</t>
  </si>
  <si>
    <t xml:space="preserve">FULL HLA CLASS 1+11 </t>
  </si>
  <si>
    <t>KAPPA &amp; LAMBDA</t>
  </si>
  <si>
    <t>IGL</t>
  </si>
  <si>
    <t>HIGH RESOLUTION CLASS II TYPING</t>
  </si>
  <si>
    <t>HDJ</t>
  </si>
  <si>
    <t>HLA TYPEING FOR LUDWIG STUDY</t>
  </si>
  <si>
    <t>CLASS 1 MATCHED PLATELETS</t>
  </si>
  <si>
    <t>PAF</t>
  </si>
  <si>
    <t xml:space="preserve">HLA CLASS 1 (A-B) </t>
  </si>
  <si>
    <t>PAFB</t>
  </si>
  <si>
    <t xml:space="preserve">HLA CLASS 11 (DR- DQ) </t>
  </si>
  <si>
    <t>PCR1</t>
  </si>
  <si>
    <t>HEAMOCHROMATOSIS GENOTYPE</t>
  </si>
  <si>
    <t>PCR</t>
  </si>
  <si>
    <t>INAPPROPRIATE SAMPLE</t>
  </si>
  <si>
    <t>PCRB</t>
  </si>
  <si>
    <t>NARCOLEPSY</t>
  </si>
  <si>
    <t>PCRH</t>
  </si>
  <si>
    <t>FACTOR V LEIDEN</t>
  </si>
  <si>
    <t>PCRT</t>
  </si>
  <si>
    <t>METHALINE TETRAHYDRA FOLATE REDUCTASE</t>
  </si>
  <si>
    <t>SPECTRATYPING</t>
  </si>
  <si>
    <t>SPTY</t>
  </si>
  <si>
    <t>FACTOR II MUTATION</t>
  </si>
  <si>
    <t>TCR</t>
  </si>
  <si>
    <t>HLA CLASS 1 DESEASE ASSOCIATED STUDIES</t>
  </si>
  <si>
    <t>TCRD</t>
  </si>
  <si>
    <t>CHIMERISM PRIOR TO TRANSPLANT</t>
  </si>
  <si>
    <t>T11</t>
  </si>
  <si>
    <t>CHIMERISM POST TO TRANSPLANT</t>
  </si>
  <si>
    <t>T14</t>
  </si>
  <si>
    <t>PRIMARY B CELL SCREEN</t>
  </si>
  <si>
    <t>BCR-ABL QUANTITATION</t>
  </si>
  <si>
    <t>BCR1</t>
  </si>
  <si>
    <t>MYELOMA MONITORING</t>
  </si>
  <si>
    <t>BCR2</t>
  </si>
  <si>
    <t>Micro Biology</t>
  </si>
  <si>
    <t>(001) Urines</t>
  </si>
  <si>
    <t>(002) Wound</t>
  </si>
  <si>
    <t>(003) Tissue</t>
  </si>
  <si>
    <t>(004) Fluid samples</t>
  </si>
  <si>
    <t>(005) CSF (spinal fluids)</t>
  </si>
  <si>
    <t>(006) MRSA swabs</t>
  </si>
  <si>
    <t>(008) Genital swabs</t>
  </si>
  <si>
    <t>(009) URT (throat swab)</t>
  </si>
  <si>
    <t>(011) LRT (sputum)</t>
  </si>
  <si>
    <t>(012) Faecal samples</t>
  </si>
  <si>
    <t>(014) Blood culture</t>
  </si>
  <si>
    <t>(017) Mycology</t>
  </si>
  <si>
    <t>(018) Mycobacteria (TB)</t>
  </si>
  <si>
    <t>(019) Parasitology</t>
  </si>
  <si>
    <t>(023) Clostridium difficile toxin</t>
  </si>
  <si>
    <t>(M001) Adenovirus PCR</t>
  </si>
  <si>
    <t>(M002) Cytomegalovirus PCR</t>
  </si>
  <si>
    <t>(M003) Hepatitis C RNA</t>
  </si>
  <si>
    <t>(M005) Enterovirus PCR</t>
  </si>
  <si>
    <t>(M006) EBV DNA</t>
  </si>
  <si>
    <t>(M007) Influenza A PCR</t>
  </si>
  <si>
    <t>(M008) Influenza B PCR</t>
  </si>
  <si>
    <t>(M009) Herpes simplex PCR</t>
  </si>
  <si>
    <t>(M010) Norovirus PCR</t>
  </si>
  <si>
    <t>(M012) MENINGITIS PCR</t>
  </si>
  <si>
    <t>(M013) RSV PCR</t>
  </si>
  <si>
    <t>(M016) Hepatitis B DNA</t>
  </si>
  <si>
    <t>(M017) Parainfluenza virus PCR</t>
  </si>
  <si>
    <t>(M019) Varicella zoster PCR</t>
  </si>
  <si>
    <t>(M021) Avian influenza H5 PCR</t>
  </si>
  <si>
    <t>Histo_Immunogenetics</t>
  </si>
  <si>
    <t>HISTOCOMPATIBILITY &amp; IMMUNOGENETICS - 10ML E.D.T.A</t>
  </si>
  <si>
    <t>B57</t>
  </si>
  <si>
    <t>BEHC</t>
  </si>
  <si>
    <t>NC12</t>
  </si>
  <si>
    <t>HR2T</t>
  </si>
  <si>
    <t>MC1</t>
  </si>
  <si>
    <t>C1MP</t>
  </si>
  <si>
    <t>CL1</t>
  </si>
  <si>
    <t>CL2</t>
  </si>
  <si>
    <t>HFE</t>
  </si>
  <si>
    <t>INAP</t>
  </si>
  <si>
    <t>NARC</t>
  </si>
  <si>
    <t>FVL</t>
  </si>
  <si>
    <t>MTFR</t>
  </si>
  <si>
    <t>PTM</t>
  </si>
  <si>
    <t>CLA1</t>
  </si>
  <si>
    <t>CLA2</t>
  </si>
  <si>
    <t>PPLX</t>
  </si>
  <si>
    <t>CHIM</t>
  </si>
  <si>
    <t>RAR3</t>
  </si>
  <si>
    <t>PB</t>
  </si>
  <si>
    <t>MM</t>
  </si>
  <si>
    <t>Parafin Block</t>
  </si>
  <si>
    <t>Not on Listing from Labs</t>
  </si>
  <si>
    <t>Tumour Block</t>
  </si>
  <si>
    <t>UC</t>
  </si>
  <si>
    <t>WC</t>
  </si>
  <si>
    <t>FLCU</t>
  </si>
  <si>
    <t>CMCS</t>
  </si>
  <si>
    <t>MRCS</t>
  </si>
  <si>
    <t>VMC</t>
  </si>
  <si>
    <t>RMC</t>
  </si>
  <si>
    <t>FMC</t>
  </si>
  <si>
    <t>BCS</t>
  </si>
  <si>
    <t>MMC</t>
  </si>
  <si>
    <t>TBC/TBM/TBMC</t>
  </si>
  <si>
    <t>FPAR</t>
  </si>
  <si>
    <t>CD2</t>
  </si>
  <si>
    <t>ADPC</t>
  </si>
  <si>
    <t>CMVP</t>
  </si>
  <si>
    <t>CRES</t>
  </si>
  <si>
    <t>ENTE</t>
  </si>
  <si>
    <t>EPCR</t>
  </si>
  <si>
    <t>FAPC</t>
  </si>
  <si>
    <t>FBPC</t>
  </si>
  <si>
    <t>HPCR</t>
  </si>
  <si>
    <t>NPCR</t>
  </si>
  <si>
    <t>RSPC</t>
  </si>
  <si>
    <t>HBDN</t>
  </si>
  <si>
    <t>PFPC</t>
  </si>
  <si>
    <t>VPCR</t>
  </si>
  <si>
    <t>AFLU</t>
  </si>
  <si>
    <t>Pharmacy</t>
  </si>
  <si>
    <t>Set-up Dispensary based</t>
  </si>
  <si>
    <t>Set-up Oral &amp; Injectable (2 depts)</t>
  </si>
  <si>
    <t>Set-up Technical Services</t>
  </si>
  <si>
    <t>Trial Maintenance monthly</t>
  </si>
  <si>
    <t>Storage</t>
  </si>
  <si>
    <t>Dispensing</t>
  </si>
  <si>
    <t>Medicine reconcilation</t>
  </si>
  <si>
    <t>Injection dispensed</t>
  </si>
  <si>
    <t>waste disposal</t>
  </si>
  <si>
    <t>Radiology</t>
  </si>
  <si>
    <t>Audiology</t>
  </si>
  <si>
    <t>X-Ray multiple views with report</t>
  </si>
  <si>
    <t>UKCLRN</t>
  </si>
  <si>
    <t>X-Ray single view with report</t>
  </si>
  <si>
    <t>X-Ray spine or bone with report</t>
  </si>
  <si>
    <t>Ultrasound Scan less than 20 minutes</t>
  </si>
  <si>
    <t>RA23Z</t>
  </si>
  <si>
    <t>Ultrasound Scan more than 20 minutes</t>
  </si>
  <si>
    <t>RA24Z</t>
  </si>
  <si>
    <t>Ultrasound (Upper Abdomen/Liver)</t>
  </si>
  <si>
    <t>Biopsy ~ bone marrow</t>
  </si>
  <si>
    <t>Biopsy ~ skin</t>
  </si>
  <si>
    <t>Biopsy ~ muscle</t>
  </si>
  <si>
    <t>Biopsy ~ fluoro/ultrasound guidance</t>
  </si>
  <si>
    <t>Biopsy ~  CT guidance</t>
  </si>
  <si>
    <t>Angiography</t>
  </si>
  <si>
    <t>Fluoroscopy/screening</t>
  </si>
  <si>
    <t>Cardiac Investigations</t>
  </si>
  <si>
    <t>POA</t>
  </si>
  <si>
    <t>CXR PA</t>
  </si>
  <si>
    <t>CXR PA &amp; Lat</t>
  </si>
  <si>
    <t>U/S Liver</t>
  </si>
  <si>
    <t>MRI Scan, one area, no contrast</t>
  </si>
  <si>
    <t>RA01Z</t>
  </si>
  <si>
    <t>MRI Scan, one area, post contrast only</t>
  </si>
  <si>
    <t>RA02Z</t>
  </si>
  <si>
    <t>MRI Scan, one area, pre and post contrast</t>
  </si>
  <si>
    <t>RA03Z</t>
  </si>
  <si>
    <t>MRI Scan, two - three areas, no contrast</t>
  </si>
  <si>
    <t>RA04Z</t>
  </si>
  <si>
    <t>MRI Scan, two - three areas, with contrast</t>
  </si>
  <si>
    <t>RA05Z</t>
  </si>
  <si>
    <t>MRI Scan, more than three areas</t>
  </si>
  <si>
    <t>RA06Z</t>
  </si>
  <si>
    <t>MRI Scan, requiring extensive patient repositioning and/or more than one contrast agent</t>
  </si>
  <si>
    <t>RA07Z</t>
  </si>
  <si>
    <t>CT Scan, one area, no contrast</t>
  </si>
  <si>
    <t>RA08Z</t>
  </si>
  <si>
    <t>CT Scan, one area with post contrast only</t>
  </si>
  <si>
    <t>RA09Z</t>
  </si>
  <si>
    <t>CT Scan, one area, pre and post contrast</t>
  </si>
  <si>
    <t>RA10Z</t>
  </si>
  <si>
    <t>CT Scan, two areas without contrast</t>
  </si>
  <si>
    <t>RA11Z</t>
  </si>
  <si>
    <t>CT Scan, two areas with contrast</t>
  </si>
  <si>
    <t>RA12Z</t>
  </si>
  <si>
    <t>CT Scan, three areas with contrast</t>
  </si>
  <si>
    <t>RA13Z</t>
  </si>
  <si>
    <t>CT Scan, more than three areas</t>
  </si>
  <si>
    <t>RA14Z</t>
  </si>
  <si>
    <t>CT Scan Chest-Abdomen-Pelvis (non-contrast)</t>
  </si>
  <si>
    <t>CT Scan Brain (inclusive of contrast)</t>
  </si>
  <si>
    <t>MRI Gadolinium Contrast Media where needed.</t>
  </si>
  <si>
    <t>Duplicate sets of CT films (original data at time of scan)</t>
  </si>
  <si>
    <t xml:space="preserve">Duplicate sets of CT films (retrospective / blinded data) </t>
  </si>
  <si>
    <t>additional films</t>
  </si>
  <si>
    <t>Out of Hours surcharge (MRI / CT) First 2 hours</t>
  </si>
  <si>
    <t>Out of Hours surcharge (MRI / CT) add’n per hour</t>
  </si>
  <si>
    <r>
      <t xml:space="preserve">Out of Hours (Administration &amp; data collection) where </t>
    </r>
    <r>
      <rPr>
        <u val="single"/>
        <sz val="6"/>
        <rFont val="Arial Narrow"/>
        <family val="2"/>
        <charset val="0"/>
      </rPr>
      <t>additional</t>
    </r>
    <r>
      <rPr>
        <sz val="6"/>
        <rFont val="Arial Narrow"/>
        <family val="2"/>
        <charset val="0"/>
      </rPr>
      <t xml:space="preserve"> Senior/ Radiographer time is required.Per person/hour</t>
    </r>
  </si>
  <si>
    <t>Copy Films (First film)</t>
  </si>
  <si>
    <t>Copy Films (Second film and thereafter)</t>
  </si>
  <si>
    <r>
      <t>Copy Films{</t>
    </r>
    <r>
      <rPr>
        <sz val="10"/>
        <rFont val="Arial Narrow"/>
        <family val="2"/>
        <charset val="0"/>
      </rPr>
      <t>Large quantities by special arrangement</t>
    </r>
    <r>
      <rPr>
        <sz val="12"/>
        <rFont val="Arial Narrow"/>
        <family val="2"/>
        <charset val="0"/>
      </rPr>
      <t>}</t>
    </r>
  </si>
  <si>
    <r>
      <t>Cost of 5.25” M-Optical RW Discs if not supplied.</t>
    </r>
    <r>
      <rPr>
        <b/>
        <sz val="10"/>
        <rFont val="Arial Narrow"/>
        <family val="2"/>
        <charset val="0"/>
      </rPr>
      <t xml:space="preserve"> </t>
    </r>
  </si>
  <si>
    <t>Cost of suitable data quality CD/R’s if not supplied. Each</t>
  </si>
  <si>
    <t>Cost of DAT tapes if not supplied. Each</t>
  </si>
  <si>
    <t>MRI Spectroscopy one area</t>
  </si>
  <si>
    <t>MRI Spectroscopy two areas</t>
  </si>
  <si>
    <t>MRI Spectroscopy three areas</t>
  </si>
  <si>
    <t>Film skeletal study</t>
  </si>
  <si>
    <t>PET Scans - Portsmouuth</t>
  </si>
  <si>
    <t>Mammogram</t>
  </si>
  <si>
    <t>Barium Study</t>
  </si>
  <si>
    <t>Film copy</t>
  </si>
  <si>
    <t>CT Contrast Cost</t>
  </si>
  <si>
    <t>MRI Contrast cost</t>
  </si>
  <si>
    <t>MRI Spectroscopy</t>
  </si>
  <si>
    <t>Outpatients_FirstAttendance_Single_Professional</t>
  </si>
  <si>
    <t>Outpatients 1st Att C.L. A &amp; E</t>
  </si>
  <si>
    <t>WF01B Speciality Average Cost</t>
  </si>
  <si>
    <t>Outpatients 1st Att S.P. Cancer</t>
  </si>
  <si>
    <t>Outpatients 1st Att S.P. Cardiology</t>
  </si>
  <si>
    <t>Outpatients 1st Att S.P. Ear, Nose &amp; Throat</t>
  </si>
  <si>
    <t>Outpatients 1st Att S.P. Gynaecology</t>
  </si>
  <si>
    <t xml:space="preserve">Outpatients 1st Att C.L. Medicine </t>
  </si>
  <si>
    <t xml:space="preserve">Outpatients 1st Att S.P. Medicine </t>
  </si>
  <si>
    <t>Outpatients 1st Att C.L. Neurology</t>
  </si>
  <si>
    <t xml:space="preserve">Outpatients 1st Att S.P. Ophthalmology </t>
  </si>
  <si>
    <t xml:space="preserve">Outpatients 1st Att S.P. Orthodontics </t>
  </si>
  <si>
    <t>Outpatients 1st Att S.P. Paediatric</t>
  </si>
  <si>
    <t>Outpatients 1st Att C.L. Paediatric</t>
  </si>
  <si>
    <t>Outpatients 1st Att C.L. Surgery</t>
  </si>
  <si>
    <t>Outpatients 1st Att S.P. Surgery</t>
  </si>
  <si>
    <t>Outpatients 1st Att S.P.T &amp; O</t>
  </si>
  <si>
    <t>Outpatients_FollowUp_Single_Professional</t>
  </si>
  <si>
    <t>Outpatients F/up C.L. A &amp; E</t>
  </si>
  <si>
    <t>WF01A Speciality Average Cost</t>
  </si>
  <si>
    <t>Outpatients F/up S.P. Cancer</t>
  </si>
  <si>
    <t>Outpatients F/up S.P. Cardiology</t>
  </si>
  <si>
    <t>Outpatients F/up S.P. Ear, Nose &amp; Throat</t>
  </si>
  <si>
    <t>Outpatients F/up S.P. Gynaecology</t>
  </si>
  <si>
    <t xml:space="preserve">Outpatients F/up C.L. Medicine </t>
  </si>
  <si>
    <t xml:space="preserve">Outpatients F/up S.P. Medicine </t>
  </si>
  <si>
    <t>Outpatients F/up C.L. Neurology</t>
  </si>
  <si>
    <t xml:space="preserve">Outpatients F/up S.P. Ophthalmology </t>
  </si>
  <si>
    <t xml:space="preserve">Outpatients F/up S.P. Orthodontics </t>
  </si>
  <si>
    <t>Outpatients F/up S.P. Paediatric</t>
  </si>
  <si>
    <t>Outpatients F/up C.L. Paediatric</t>
  </si>
  <si>
    <t>Outpatients F/up C.L. Surgery</t>
  </si>
  <si>
    <t>Outpatients F/up up S.P. Surgery</t>
  </si>
  <si>
    <t>Outpatients F/up S.P.T &amp; O</t>
  </si>
  <si>
    <t>Osteoporosis Centre</t>
  </si>
  <si>
    <t>Pqct Scan</t>
  </si>
  <si>
    <t xml:space="preserve">Nuclear Medicine </t>
  </si>
  <si>
    <t>Bone Whole Body</t>
  </si>
  <si>
    <t>RA35Z</t>
  </si>
  <si>
    <t>Bone Dynamic</t>
  </si>
  <si>
    <t>RA36Z</t>
  </si>
  <si>
    <t>Brain HMPAO</t>
  </si>
  <si>
    <t>RA37Z</t>
  </si>
  <si>
    <t>Brain DAT</t>
  </si>
  <si>
    <t>RA38Z</t>
  </si>
  <si>
    <t>Cardiac scan</t>
  </si>
  <si>
    <t>RA39Z</t>
  </si>
  <si>
    <t>DMSA</t>
  </si>
  <si>
    <t>Gastric Emptying</t>
  </si>
  <si>
    <t>Lung scan</t>
  </si>
  <si>
    <t>Lymph scan</t>
  </si>
  <si>
    <t>MAG-3</t>
  </si>
  <si>
    <t>Octreotide</t>
  </si>
  <si>
    <t>SeHCAT</t>
  </si>
  <si>
    <t xml:space="preserve">Thyroid scan </t>
  </si>
  <si>
    <t>Thyroid therapy</t>
  </si>
  <si>
    <t>White cell scan</t>
  </si>
  <si>
    <t>Sentinel Imaging external</t>
  </si>
  <si>
    <t>Sentinel SUHT imaging</t>
  </si>
  <si>
    <t>Sentinel SUHT injection/probe</t>
  </si>
  <si>
    <t>Parathyroid</t>
  </si>
  <si>
    <t>mIBG</t>
  </si>
  <si>
    <t>Thyroid post ablation I-131 imaging only</t>
  </si>
  <si>
    <t>Thyroid post ablation I-131 imaging and drink</t>
  </si>
  <si>
    <t>P32</t>
  </si>
  <si>
    <t>Blood Vol</t>
  </si>
  <si>
    <t>GFR</t>
  </si>
  <si>
    <t>Urea</t>
  </si>
  <si>
    <t>Bile Salt deconjugation C14</t>
  </si>
  <si>
    <t>Meckels</t>
  </si>
  <si>
    <t>R&amp;D Overhead (5%)</t>
  </si>
  <si>
    <t>Total Staff costs</t>
  </si>
  <si>
    <t>TOTAL Investigation Price</t>
  </si>
  <si>
    <t>Treatment Type</t>
  </si>
  <si>
    <t>Support Cost</t>
  </si>
  <si>
    <t>Research Cost</t>
  </si>
  <si>
    <t>Excess Treatment Costs</t>
  </si>
  <si>
    <t>Full Study</t>
  </si>
  <si>
    <t>Visit 10</t>
  </si>
  <si>
    <t>Visit 11</t>
  </si>
  <si>
    <t>Visit 12</t>
  </si>
  <si>
    <t>Visit 13</t>
  </si>
  <si>
    <t>Visit 14</t>
  </si>
  <si>
    <t>Visit 15</t>
  </si>
  <si>
    <t>Visit 16</t>
  </si>
  <si>
    <t>Visit 17</t>
  </si>
  <si>
    <t>Visit 18</t>
  </si>
  <si>
    <t>Visit 19</t>
  </si>
  <si>
    <t>Visit 20</t>
  </si>
  <si>
    <t>FOR R &amp; D OFFICE USE:</t>
  </si>
  <si>
    <t>Please sign to confirm all paperwork has been checked for accuracy</t>
  </si>
  <si>
    <t>R&amp;D Ref:</t>
  </si>
  <si>
    <t>RHM</t>
  </si>
  <si>
    <t>Signature:</t>
  </si>
  <si>
    <t>R&amp;D Office</t>
  </si>
  <si>
    <t>Date:</t>
  </si>
  <si>
    <t xml:space="preserve">Print Name </t>
  </si>
  <si>
    <t>NIHR Compliant</t>
  </si>
  <si>
    <t>UKCRC</t>
  </si>
  <si>
    <t>NIHR Non-Compliant</t>
  </si>
  <si>
    <t>1a Funded by NIHR</t>
  </si>
  <si>
    <t>3  Funded by overseas</t>
  </si>
  <si>
    <t xml:space="preserve">    government</t>
  </si>
  <si>
    <t>1b Funded by other Gov. dept.</t>
  </si>
  <si>
    <t>4a Other high quality studies</t>
  </si>
  <si>
    <t>No research costs to SUHT</t>
  </si>
  <si>
    <t xml:space="preserve">     e.g. EORTC</t>
  </si>
  <si>
    <t>1c Funded by NIHR partner</t>
  </si>
  <si>
    <t>4b Collaborative study with</t>
  </si>
  <si>
    <t>Self funded agreed with</t>
  </si>
  <si>
    <t xml:space="preserve">      industry</t>
  </si>
  <si>
    <t>Division</t>
  </si>
  <si>
    <t>1d Support costs only</t>
  </si>
  <si>
    <t>2  Commercial study adopted</t>
  </si>
  <si>
    <t>Research &amp; Excess Treatment Costs</t>
  </si>
  <si>
    <t>Total Per Visit Support Costs</t>
  </si>
  <si>
    <t>Total Per Visit Research Costs</t>
  </si>
  <si>
    <t>Total Per Visit Excess Treatment Costs</t>
  </si>
  <si>
    <t>Recruitment Target Arm 1</t>
  </si>
  <si>
    <t>Total Site Recruitment target</t>
  </si>
  <si>
    <t>Visit 21</t>
  </si>
  <si>
    <t>Visit 22</t>
  </si>
  <si>
    <t>Visit 23</t>
  </si>
  <si>
    <t>Adhoc costs - Requires negotiation with funder</t>
  </si>
  <si>
    <t>Additional Study Activities (all research costs)</t>
  </si>
  <si>
    <t>Study Set-up (all research costs)</t>
  </si>
  <si>
    <t>Additional Costs (all research costs)</t>
  </si>
  <si>
    <t>Dietitian Time</t>
  </si>
  <si>
    <t>Under Review</t>
  </si>
  <si>
    <t>Overheads</t>
  </si>
  <si>
    <t>Yes</t>
  </si>
  <si>
    <t>No</t>
  </si>
  <si>
    <t>Income</t>
  </si>
  <si>
    <t>How much is due?</t>
  </si>
  <si>
    <t>£xxx</t>
  </si>
  <si>
    <t>Who are the funders?</t>
  </si>
  <si>
    <t>NIHR CRN / NIHR Other / Other</t>
  </si>
  <si>
    <t>How is the income received?</t>
  </si>
  <si>
    <t>Invoice / Bank Transfer / Other</t>
  </si>
  <si>
    <t>When is it received?</t>
  </si>
  <si>
    <t>Monthly / Quarterly / Annually / Per patient / Other</t>
  </si>
  <si>
    <t>In advance / In Arrears</t>
  </si>
  <si>
    <t>Details</t>
  </si>
  <si>
    <t>Value</t>
  </si>
  <si>
    <t>Cost centre</t>
  </si>
  <si>
    <t>Expenditure</t>
  </si>
  <si>
    <t>How much expenditure is expected?</t>
  </si>
  <si>
    <t>Staff recharges</t>
  </si>
  <si>
    <t>Pathology</t>
  </si>
  <si>
    <t>CRF</t>
  </si>
  <si>
    <t>Set Up costs</t>
  </si>
  <si>
    <t>Other</t>
  </si>
  <si>
    <t>When is it expected?</t>
  </si>
  <si>
    <t>Budget</t>
  </si>
  <si>
    <t>2016/17</t>
  </si>
  <si>
    <t>2017/18</t>
  </si>
  <si>
    <t>2018/19</t>
  </si>
  <si>
    <t>2019/20</t>
  </si>
  <si>
    <t>2020/21</t>
  </si>
  <si>
    <t>Cost centre &amp; subjective</t>
  </si>
  <si>
    <t>Year 1</t>
  </si>
  <si>
    <t>Year 2</t>
  </si>
  <si>
    <t>Year 3</t>
  </si>
  <si>
    <t>Year 4</t>
  </si>
  <si>
    <t>Year 5</t>
  </si>
  <si>
    <t xml:space="preserve">Income </t>
  </si>
  <si>
    <t>Visit 24</t>
  </si>
  <si>
    <t>Visit 25</t>
  </si>
  <si>
    <t>Visit 26</t>
  </si>
  <si>
    <t>Visit 27</t>
  </si>
  <si>
    <t>Visit 28</t>
  </si>
  <si>
    <t>Visit 29</t>
  </si>
  <si>
    <t>Visit 30</t>
  </si>
  <si>
    <t>Visit 31</t>
  </si>
  <si>
    <t>Visit 32</t>
  </si>
  <si>
    <t>Visit 33</t>
  </si>
  <si>
    <t>Visit 34</t>
  </si>
  <si>
    <t>Visit 35</t>
  </si>
  <si>
    <t>Recruitment Target Arm 2</t>
  </si>
  <si>
    <t>Recruitment Target Arm 3</t>
  </si>
  <si>
    <t>Recruitment Target Arm 4</t>
  </si>
  <si>
    <t>Recruitment Target Arm 5</t>
  </si>
  <si>
    <t>Total Staff Costs</t>
  </si>
  <si>
    <t>Admin time</t>
  </si>
  <si>
    <r>
      <t/>
    </r>
    <r>
      <rPr>
        <sz val="11"/>
        <color rgb="FFFF0000"/>
        <rFont val="Calibri"/>
        <family val="2"/>
        <charset val="0"/>
        <scheme val="minor"/>
      </rPr>
      <t>Monthly</t>
    </r>
    <r>
      <rPr>
        <sz val="10"/>
        <rFont val="Arial"/>
        <family val="2"/>
        <charset val="0"/>
      </rPr>
      <t xml:space="preserve"> / Quarterly / Annually / Other</t>
    </r>
  </si>
  <si>
    <t xml:space="preserve">Position: </t>
  </si>
  <si>
    <t>Clinical Time1 Consultant</t>
  </si>
  <si>
    <t>Clinical Time2 Fellow</t>
  </si>
  <si>
    <t>TOTAL Clinical Time 1 per visit</t>
  </si>
  <si>
    <t>TOTAL Clinical Time 2 per visit</t>
  </si>
  <si>
    <t>Total clinical cost per visit 1</t>
  </si>
  <si>
    <t>Total clinical cost per visit 2</t>
  </si>
  <si>
    <t>Research / Support / Excess Treatment</t>
  </si>
  <si>
    <t>Expenditure to distribute</t>
  </si>
  <si>
    <t>Expenditure to be waived subject to agreement</t>
  </si>
  <si>
    <t>Summary of expenditure</t>
  </si>
  <si>
    <t>Justification for waiving expenditure</t>
  </si>
  <si>
    <t>Y</t>
  </si>
  <si>
    <t>N</t>
  </si>
  <si>
    <t>Clinical Time1</t>
  </si>
  <si>
    <t>Clinical Time2</t>
  </si>
  <si>
    <t>SC</t>
  </si>
  <si>
    <t>ETC</t>
  </si>
  <si>
    <t>Study details</t>
  </si>
  <si>
    <t>Study Number</t>
  </si>
  <si>
    <t>Study short Name</t>
  </si>
  <si>
    <t>Study Title</t>
  </si>
  <si>
    <t>Lead nurse</t>
  </si>
  <si>
    <t>Duration (months)</t>
  </si>
  <si>
    <t>Target # Patients recruited</t>
  </si>
  <si>
    <t xml:space="preserve">CRN portolio? </t>
  </si>
  <si>
    <t>If yes, CRN portfolio number</t>
  </si>
  <si>
    <t>RBRU study?</t>
  </si>
  <si>
    <t>NBRC study?</t>
  </si>
  <si>
    <t>Surplus/Deficit amount (D)</t>
  </si>
  <si>
    <t>Study costed by:</t>
  </si>
  <si>
    <t>Position</t>
  </si>
  <si>
    <t>Date</t>
  </si>
  <si>
    <t>Finance detail</t>
  </si>
  <si>
    <t>Distribution proposal &amp; justification</t>
  </si>
  <si>
    <t>Cost Item</t>
  </si>
  <si>
    <t>Distribute income to cover cost</t>
  </si>
  <si>
    <t>Justification for distribution / waive</t>
  </si>
  <si>
    <t>Fellow</t>
  </si>
  <si>
    <t>Nurse</t>
  </si>
  <si>
    <t>Opthamology</t>
  </si>
  <si>
    <t>Other Costs</t>
  </si>
  <si>
    <t>Additional Costs</t>
  </si>
  <si>
    <t>Research Costs A</t>
  </si>
  <si>
    <t>Research Costs B</t>
  </si>
  <si>
    <t>Research Cost A</t>
  </si>
  <si>
    <t>Research Cost B</t>
  </si>
  <si>
    <t>Susan Ward</t>
  </si>
  <si>
    <t>Senior Finance Manager</t>
  </si>
  <si>
    <t>Alan Geal</t>
  </si>
  <si>
    <t>Management Accountant</t>
  </si>
  <si>
    <t>Prince Chibwana</t>
  </si>
  <si>
    <t>Senior Management Accountant</t>
  </si>
  <si>
    <t>RCA</t>
  </si>
  <si>
    <t>RCB</t>
  </si>
  <si>
    <t>To calculate budget per category</t>
  </si>
  <si>
    <t>Support Departments</t>
  </si>
  <si>
    <t>Funder</t>
  </si>
  <si>
    <t>Treatment Costs</t>
  </si>
  <si>
    <t>Cost Centre</t>
  </si>
  <si>
    <t>Procedures/ Sendawas</t>
  </si>
  <si>
    <t>Investigations</t>
  </si>
  <si>
    <t>Facilitator:</t>
  </si>
  <si>
    <r>
      <t/>
    </r>
    <r>
      <rPr>
        <b/>
        <sz val="11"/>
        <color theme="1"/>
        <rFont val="Calibri"/>
        <family val="2"/>
        <charset val="0"/>
        <scheme val="minor"/>
      </rPr>
      <t>RHM Study Code</t>
    </r>
    <r>
      <rPr>
        <sz val="10"/>
        <rFont val="Arial"/>
        <family val="2"/>
        <charset val="0"/>
      </rPr>
      <t xml:space="preserve">:                                        </t>
    </r>
  </si>
  <si>
    <t>hours</t>
  </si>
  <si>
    <t>Staff cost/hour</t>
  </si>
  <si>
    <t>Radiology sub dept</t>
  </si>
  <si>
    <t>PAC's image submission &amp; Additional costs</t>
  </si>
  <si>
    <t>Radiology &amp; MRI Physics sub depts</t>
  </si>
  <si>
    <t>Number of Patients</t>
  </si>
  <si>
    <t>Number of procedures</t>
  </si>
  <si>
    <t>Imaging Procedures</t>
  </si>
  <si>
    <t>If AMRC registered body then paid from CRN or RCF</t>
  </si>
  <si>
    <t>if on CRN Portfolio then funded by CRN</t>
  </si>
  <si>
    <t>Only ETC if costs are higher or in excess of Standard care treatment cost</t>
  </si>
  <si>
    <t>Always Zero since it's funded by Commissioner</t>
  </si>
  <si>
    <t>Study CC</t>
  </si>
  <si>
    <t xml:space="preserve">AMRC Member (Funder) </t>
  </si>
  <si>
    <t>Fill out as much information as you can in "Study Information and Rates"</t>
  </si>
  <si>
    <t>"Total Summary and Budget" mostly automated by formulae</t>
  </si>
  <si>
    <t>"Save as" _____________ before editing</t>
  </si>
  <si>
    <r>
      <t xml:space="preserve">Remember: </t>
    </r>
    <r>
      <rPr>
        <sz val="11"/>
        <rFont val="Calibri"/>
        <family val="2"/>
        <charset val="0"/>
      </rPr>
      <t>please fill in cells in column B using the drill down menu for all the rolls that you have used.</t>
    </r>
  </si>
  <si>
    <t>"Additional Study Activities" - this will be used to fill out all one-off costs that don't fit the "per patient" model and don't originate from any of the above support departments</t>
  </si>
  <si>
    <t>If you want to insert a new roll, please either copy the prevoius roll and "insert Copied Cells" on the next line or insert a new roll and copy the previous roll.</t>
  </si>
  <si>
    <t>"Set-up and other costs" - this is pre-populated, only fill out if there are University of Southampton Fees and NIHR WTCRF Fees to be added</t>
  </si>
  <si>
    <t>"Per Patient Arms" - use these to fill in all per patient data from HRA per visit to cature all procedures and investigations</t>
  </si>
  <si>
    <r>
      <t xml:space="preserve">Cells: B2, AU50, AV50, AW50 and AX50, theses are "check cells" if they are </t>
    </r>
    <r>
      <rPr>
        <sz val="11"/>
        <color rgb="FF00B050"/>
        <rFont val="Calibri"/>
        <family val="2"/>
        <charset val="0"/>
        <scheme val="minor"/>
      </rPr>
      <t xml:space="preserve">GREEN, </t>
    </r>
    <r>
      <rPr>
        <sz val="11"/>
        <rFont val="Calibri"/>
        <family val="2"/>
        <charset val="0"/>
      </rPr>
      <t>then your calculation is ok, or if</t>
    </r>
    <r>
      <rPr>
        <sz val="11"/>
        <color rgb="FF00B050"/>
        <rFont val="Calibri"/>
        <family val="2"/>
        <charset val="0"/>
        <scheme val="minor"/>
      </rPr>
      <t xml:space="preserve"> </t>
    </r>
    <r>
      <rPr>
        <sz val="11"/>
        <color rgb="FFFF0000"/>
        <rFont val="Calibri"/>
        <family val="2"/>
        <charset val="0"/>
        <scheme val="minor"/>
      </rPr>
      <t>RED</t>
    </r>
    <r>
      <rPr>
        <sz val="11"/>
        <color rgb="FF00B050"/>
        <rFont val="Calibri"/>
        <family val="2"/>
        <charset val="0"/>
        <scheme val="minor"/>
      </rPr>
      <t xml:space="preserve"> </t>
    </r>
    <r>
      <rPr>
        <sz val="11"/>
        <rFont val="Calibri"/>
        <family val="2"/>
        <charset val="0"/>
      </rPr>
      <t>then you need to check that you have filled out all the manadatory Cells.</t>
    </r>
  </si>
  <si>
    <t xml:space="preserve">When you are filling in the study targets, make sure you are filling in the cell that corresponds to the correct per patient arm., eg "Recruitment Target Arm 1" is for "Per Patient Arm 1" </t>
  </si>
  <si>
    <t>But you need to fill out income details in the "Income Explanation" Box and put the total income figure in Cell C34</t>
  </si>
  <si>
    <t>Total Cost</t>
  </si>
  <si>
    <t>Grant &amp; ETC Income (A)</t>
  </si>
  <si>
    <t>Accord Attribution</t>
  </si>
  <si>
    <r>
      <t xml:space="preserve">All cells in </t>
    </r>
    <r>
      <rPr>
        <sz val="11"/>
        <color theme="6" tint="-0.249977111117893"/>
        <rFont val="Calibri"/>
        <family val="2"/>
        <charset val="0"/>
        <scheme val="minor"/>
      </rPr>
      <t>GREEN</t>
    </r>
    <r>
      <rPr>
        <sz val="11"/>
        <color rgb="FF92D050"/>
        <rFont val="Calibri"/>
        <family val="2"/>
        <charset val="0"/>
        <scheme val="minor"/>
      </rPr>
      <t xml:space="preserve"> </t>
    </r>
    <r>
      <rPr>
        <sz val="11"/>
        <rFont val="Calibri"/>
        <family val="2"/>
        <charset val="0"/>
      </rPr>
      <t>are mandatory</t>
    </r>
  </si>
  <si>
    <t>Additional activities</t>
  </si>
  <si>
    <t>Set up cost</t>
  </si>
  <si>
    <t>Per patient Arm 1</t>
  </si>
  <si>
    <t>Per patient arm 2</t>
  </si>
  <si>
    <t>Per patient Arm 3</t>
  </si>
  <si>
    <t>Per patient Arm 4</t>
  </si>
  <si>
    <t>Per patient Arm 5</t>
  </si>
  <si>
    <r>
      <t xml:space="preserve">"Pathology" - to be filled out by Pathology in the </t>
    </r>
    <r>
      <rPr>
        <sz val="11"/>
        <color rgb="FFFF0000"/>
        <rFont val="Calibri"/>
        <family val="2"/>
        <charset val="0"/>
        <scheme val="minor"/>
      </rPr>
      <t>Pathology Tab</t>
    </r>
  </si>
  <si>
    <r>
      <t xml:space="preserve">"Pharmacy" - to be filled out be Pharmacy in the </t>
    </r>
    <r>
      <rPr>
        <sz val="11"/>
        <color rgb="FFFF0000"/>
        <rFont val="Calibri"/>
        <family val="2"/>
        <charset val="0"/>
        <scheme val="minor"/>
      </rPr>
      <t>Pharmacy Tab</t>
    </r>
  </si>
  <si>
    <r>
      <t xml:space="preserve">"Radiology" - to be filled out by Radiology in the </t>
    </r>
    <r>
      <rPr>
        <sz val="11"/>
        <color rgb="FFFF0000"/>
        <rFont val="Calibri"/>
        <family val="2"/>
        <charset val="0"/>
        <scheme val="minor"/>
      </rPr>
      <t>Radiology Tab</t>
    </r>
  </si>
  <si>
    <r>
      <t xml:space="preserve">Summary tab "A1" should be </t>
    </r>
    <r>
      <rPr>
        <sz val="11"/>
        <color rgb="FF00B050"/>
        <rFont val="Calibri"/>
        <family val="2"/>
        <charset val="0"/>
        <scheme val="minor"/>
      </rPr>
      <t>GREEN</t>
    </r>
    <r>
      <rPr>
        <sz val="10"/>
        <rFont val="Arial"/>
        <family val="2"/>
        <charset val="0"/>
      </rPr>
      <t xml:space="preserve"> and </t>
    </r>
    <r>
      <rPr>
        <sz val="11"/>
        <color rgb="FF00B050"/>
        <rFont val="Calibri"/>
        <family val="2"/>
        <charset val="0"/>
        <scheme val="minor"/>
      </rPr>
      <t xml:space="preserve">True </t>
    </r>
    <r>
      <rPr>
        <sz val="11"/>
        <rFont val="Calibri"/>
        <family val="2"/>
        <charset val="0"/>
      </rPr>
      <t>indicating calculation is correct</t>
    </r>
  </si>
  <si>
    <t xml:space="preserve">Please note that all support departments costs need to be inserted in the correct tab, only CRF, Opthamology and any "Other" costs still remain on the "Investigations section in the "per patient tabs" </t>
  </si>
  <si>
    <t>Service Support Costs</t>
  </si>
  <si>
    <t>Service Support Cost</t>
  </si>
  <si>
    <t>Pathology Costs</t>
  </si>
  <si>
    <t>Radiology Costs</t>
  </si>
  <si>
    <t>Overhead</t>
  </si>
  <si>
    <t>Is Costing correct True/False</t>
  </si>
  <si>
    <t>C1D1</t>
  </si>
  <si>
    <t>C1D8</t>
  </si>
  <si>
    <t>C1D15</t>
  </si>
  <si>
    <t>C2D1</t>
  </si>
  <si>
    <t>c2d8</t>
  </si>
  <si>
    <t>C3D1</t>
  </si>
  <si>
    <t>C3D8</t>
  </si>
  <si>
    <t>C4D1</t>
  </si>
  <si>
    <t>C4D8</t>
  </si>
  <si>
    <t>C5D1</t>
  </si>
  <si>
    <t>C5D8</t>
  </si>
  <si>
    <t>C6D1</t>
  </si>
  <si>
    <t>C6D8</t>
  </si>
  <si>
    <t>EOT</t>
  </si>
  <si>
    <t>FU CALL</t>
  </si>
  <si>
    <t>Survival C</t>
  </si>
  <si>
    <t>PC3</t>
  </si>
  <si>
    <t>PC4</t>
  </si>
  <si>
    <t>PC5</t>
  </si>
  <si>
    <t>Day 4</t>
  </si>
  <si>
    <t>Day 5</t>
  </si>
  <si>
    <t>Day 11</t>
  </si>
  <si>
    <t>Day 12</t>
  </si>
  <si>
    <t>Day 15</t>
  </si>
  <si>
    <t>Day 16</t>
  </si>
  <si>
    <t>Day 17</t>
  </si>
  <si>
    <t>Day 18</t>
  </si>
  <si>
    <t xml:space="preserve">1 week post EOT </t>
  </si>
  <si>
    <t>2 weeks post EOT</t>
  </si>
  <si>
    <t>3 weeks post EOT</t>
  </si>
  <si>
    <t>4 weeks post EOT</t>
  </si>
  <si>
    <t>6 month post start of treatment</t>
  </si>
  <si>
    <t>1 year post start of treatment</t>
  </si>
  <si>
    <t>1.5 yrs post start of treatment</t>
  </si>
  <si>
    <t>2 years post start of treatment</t>
  </si>
  <si>
    <t>2.5 years post start of treatment</t>
  </si>
  <si>
    <t>3 years post start of treatment</t>
  </si>
  <si>
    <t>3.5 years post start of treatment</t>
  </si>
  <si>
    <t>4 years post start of treatment</t>
  </si>
  <si>
    <t>4.5 years post start of treatment</t>
  </si>
  <si>
    <t>5 years post start of treatment</t>
  </si>
  <si>
    <t>VAT</t>
  </si>
  <si>
    <t>Band</t>
  </si>
  <si>
    <t>&gt;</t>
  </si>
  <si>
    <t>&lt;</t>
  </si>
  <si>
    <t>Interventional</t>
  </si>
  <si>
    <t>1:1</t>
  </si>
  <si>
    <t>1:3.5</t>
  </si>
  <si>
    <t>1:11</t>
  </si>
  <si>
    <t>Observational</t>
  </si>
  <si>
    <t>Band 2</t>
  </si>
  <si>
    <t>Band 3</t>
  </si>
  <si>
    <t>Only fill this in if the study is in deficit and you need to consider future income</t>
  </si>
  <si>
    <t>Day -x to -y</t>
  </si>
  <si>
    <t>Day 0</t>
  </si>
  <si>
    <t>Day x</t>
  </si>
  <si>
    <t>Day 2</t>
  </si>
  <si>
    <t>Day 3</t>
  </si>
  <si>
    <t>Day x30</t>
  </si>
  <si>
    <t>Day x60</t>
  </si>
  <si>
    <t>Day x180</t>
  </si>
  <si>
    <t>Additional Staff Costs</t>
  </si>
  <si>
    <t>Adhoc costs</t>
  </si>
  <si>
    <t>17/18</t>
  </si>
  <si>
    <t>18/19</t>
  </si>
  <si>
    <t>Day 1 recovery</t>
  </si>
  <si>
    <t>Discharge</t>
  </si>
  <si>
    <t>Day 30</t>
  </si>
  <si>
    <t>Day 90</t>
  </si>
  <si>
    <t>Day 180</t>
  </si>
  <si>
    <t>Day -1</t>
  </si>
  <si>
    <t>Support Department (Please put down department)</t>
  </si>
  <si>
    <t>Costcentre</t>
  </si>
  <si>
    <t>Other support functions Costs</t>
  </si>
  <si>
    <t>Nurse Team</t>
  </si>
  <si>
    <t>Edward Barton</t>
  </si>
  <si>
    <t>Kanishka De Mel</t>
  </si>
  <si>
    <t>Sultan Hajamaideen</t>
  </si>
  <si>
    <t>Senior Accountant</t>
  </si>
  <si>
    <t>Comments:</t>
  </si>
  <si>
    <t>Income Details</t>
  </si>
  <si>
    <t>Open master template as "Read Only" and "save as" in the study folder</t>
  </si>
  <si>
    <t>Future CRN Income</t>
  </si>
  <si>
    <r>
      <t>For future CRN Income calculation, select Yes in Row B for the Relevant banding and answer will appear in the "</t>
    </r>
    <r>
      <rPr>
        <sz val="10"/>
        <color rgb="FFFFC000"/>
        <rFont val="Arial"/>
        <family val="2"/>
        <charset val="0"/>
      </rPr>
      <t>Yellow</t>
    </r>
    <r>
      <rPr>
        <sz val="10"/>
        <rFont val="Arial"/>
        <family val="2"/>
        <charset val="0"/>
      </rPr>
      <t>" area on the s"Total Summary and Budget" Tab on the relevant banding row, make sure the target recruitment is filled</t>
    </r>
  </si>
  <si>
    <t>Standard Rate</t>
  </si>
  <si>
    <t>Outside the Scope</t>
  </si>
  <si>
    <t>Reduced Rate</t>
  </si>
  <si>
    <t>Zero Rated</t>
  </si>
  <si>
    <t xml:space="preserve">Exempt </t>
  </si>
  <si>
    <t>Waste disposal per bin</t>
  </si>
  <si>
    <t>Relabelling per hour</t>
  </si>
  <si>
    <t>Assessment of protocol/Ph manual or IB  amendment</t>
  </si>
  <si>
    <t>Temperature reporting per hour</t>
  </si>
  <si>
    <t>Shipment receipt</t>
  </si>
  <si>
    <t>Waste disposal management</t>
  </si>
  <si>
    <t>Packing returns to sponsor</t>
  </si>
  <si>
    <t>Storage space per month</t>
  </si>
  <si>
    <t>Monitoring visits</t>
  </si>
  <si>
    <t>IVRS / study specific training</t>
  </si>
  <si>
    <t>Sponsor oversight</t>
  </si>
  <si>
    <t>ETC drugs</t>
  </si>
  <si>
    <t>Number of occasions</t>
  </si>
  <si>
    <t>PLEASE DO NOT REMOVE THESE TASKS - PHARMACY USE ONLY</t>
  </si>
  <si>
    <t xml:space="preserve">Observational &lt;10,000 </t>
  </si>
  <si>
    <t>2019-20</t>
  </si>
  <si>
    <t xml:space="preserve">Observational &gt;10,000  </t>
  </si>
  <si>
    <t xml:space="preserve">Interventional </t>
  </si>
  <si>
    <t>External Collaborators must provide a Financial Breakdown of their costs</t>
  </si>
  <si>
    <t>UHS Finance Contact: ResearchGrants - Researchgrants@uhs.nhs.uk</t>
  </si>
  <si>
    <t>Funding Stream/Call</t>
  </si>
  <si>
    <t>Proposed End Date</t>
  </si>
  <si>
    <t>Proposed Start Date</t>
  </si>
  <si>
    <t>Total numbers of Month(s)</t>
  </si>
  <si>
    <t>Market Forces Factor</t>
  </si>
  <si>
    <t>Costed By</t>
  </si>
  <si>
    <t>Costed Date</t>
  </si>
  <si>
    <t>Only Yes for Investigator-led or Commercial grants</t>
  </si>
  <si>
    <t>Total staff cost</t>
  </si>
  <si>
    <t>Other cost</t>
  </si>
  <si>
    <t>FTE%/hrs p/w</t>
  </si>
  <si>
    <t>Incremental Date</t>
  </si>
  <si>
    <t>Band/Grade point</t>
  </si>
  <si>
    <t>No. of Months</t>
  </si>
  <si>
    <t>Total, £</t>
  </si>
  <si>
    <t xml:space="preserve">Total Research cost </t>
  </si>
  <si>
    <t>Gross Pay</t>
  </si>
  <si>
    <t>NI</t>
  </si>
  <si>
    <t>Pension</t>
  </si>
  <si>
    <t>Apprentice levy</t>
  </si>
  <si>
    <t>Principal Investigator</t>
  </si>
  <si>
    <t>Nursing Team</t>
  </si>
  <si>
    <t>FTE%/Hrs p/w</t>
  </si>
  <si>
    <t xml:space="preserve"> </t>
  </si>
  <si>
    <t>Cardiology Nurses</t>
  </si>
  <si>
    <t>Cancer Nurses</t>
  </si>
  <si>
    <t>R&amp;D Research Nurses</t>
  </si>
  <si>
    <t>Respiratory BRU</t>
  </si>
  <si>
    <t>Health Protection Agency Labs</t>
  </si>
  <si>
    <t>Nuclear Medicine</t>
  </si>
  <si>
    <t xml:space="preserve">Tissue Bank </t>
  </si>
  <si>
    <t xml:space="preserve">Non-invasive Cardiology </t>
  </si>
  <si>
    <t>Medical Physics</t>
  </si>
  <si>
    <t>Princess Anne Involvement</t>
  </si>
  <si>
    <t>Sample storage</t>
  </si>
  <si>
    <t>WISH Labroratory</t>
  </si>
  <si>
    <t>Others</t>
  </si>
  <si>
    <t>Post (e.g. Academic Research Fellow)</t>
  </si>
  <si>
    <t>FTE%, or hrs/week</t>
  </si>
  <si>
    <t>Statisticians</t>
  </si>
  <si>
    <t>Administrator</t>
  </si>
  <si>
    <t>Data Manager</t>
  </si>
  <si>
    <t>EQUIPMENT:</t>
  </si>
  <si>
    <t>Database</t>
  </si>
  <si>
    <t>CONSUMABLES &amp; MATERIALS:</t>
  </si>
  <si>
    <t>Drug Costs</t>
  </si>
  <si>
    <t>TRAVEL &amp; SUBSISTENCE:</t>
  </si>
  <si>
    <t>Patient Travel</t>
  </si>
  <si>
    <t>conference (UK)</t>
  </si>
  <si>
    <t>conference (EUrope)</t>
  </si>
  <si>
    <t>courses</t>
  </si>
  <si>
    <t>Other Support Departments</t>
  </si>
  <si>
    <t>Other Support Department</t>
  </si>
  <si>
    <t>Explain the procedure, Number of participants for listed procedure and number of times procedure will be taking place</t>
  </si>
  <si>
    <t>Name of Dept.</t>
  </si>
  <si>
    <t>Total service support cost</t>
  </si>
  <si>
    <t>Total treatment cost</t>
  </si>
  <si>
    <t>Total Research cost A</t>
  </si>
  <si>
    <t>Total Research cost B</t>
  </si>
  <si>
    <t>Investigator Led</t>
  </si>
  <si>
    <t xml:space="preserve">Non-Invest. Led </t>
  </si>
  <si>
    <t>MFF</t>
  </si>
  <si>
    <t>Total Price</t>
  </si>
  <si>
    <t>TOTAL Staff Price + mff</t>
  </si>
  <si>
    <t>Outcome Date</t>
  </si>
  <si>
    <t>Study/Nursing team involved in the study</t>
  </si>
  <si>
    <t>e.g Paediatric CRF nurses, Cancer nurses, Opthalmology nursung team etc</t>
  </si>
  <si>
    <t>CO-I 1</t>
  </si>
  <si>
    <t>CO-I 2</t>
  </si>
  <si>
    <t>Directly Incurred Staff  Directly employed researchers</t>
  </si>
  <si>
    <t xml:space="preserve">Directly Incurred non-Staff  </t>
  </si>
  <si>
    <t xml:space="preserve"> Finance team only</t>
  </si>
  <si>
    <t>Support department required - Please separate with commas</t>
  </si>
  <si>
    <t>Website link to Funding Stream/Call</t>
  </si>
  <si>
    <r>
      <t/>
    </r>
    <r>
      <rPr>
        <b/>
        <sz val="10"/>
        <rFont val="Calibri"/>
        <family val="2"/>
        <charset val="0"/>
        <scheme val="minor"/>
      </rPr>
      <t xml:space="preserve">Is the funder a member of </t>
    </r>
    <r>
      <rPr>
        <b/>
        <u val="single"/>
        <sz val="10"/>
        <color theme="5"/>
        <rFont val="Calibri"/>
        <family val="2"/>
        <charset val="0"/>
        <scheme val="minor"/>
      </rPr>
      <t xml:space="preserve">Association of Medical Research Charities (AMRC) </t>
    </r>
  </si>
  <si>
    <t xml:space="preserve">UKCRN Portfolio </t>
  </si>
  <si>
    <t>IT IS MANDATORY TO COMPLETE THE GREEN SECTION ONLY</t>
  </si>
  <si>
    <t>NHS Finance summary</t>
  </si>
  <si>
    <t>Directly Incurred</t>
  </si>
  <si>
    <t>Directly Allocated</t>
  </si>
  <si>
    <t>Other Directly Allocated</t>
  </si>
  <si>
    <t>Indirect costs</t>
  </si>
  <si>
    <t>Non-Staff</t>
  </si>
  <si>
    <t xml:space="preserve">Indirect costs </t>
  </si>
  <si>
    <t>NIHR CRF</t>
  </si>
  <si>
    <t>e.g. imaging, radiology, pathology, pharmacy, CRF</t>
  </si>
  <si>
    <t>Submission Deadline Date</t>
  </si>
  <si>
    <t xml:space="preserve">Total required from funder </t>
  </si>
  <si>
    <t>mff added for inv-Led studies</t>
  </si>
  <si>
    <t xml:space="preserve">Directly Incurred Staff </t>
  </si>
  <si>
    <t>Cost computation</t>
  </si>
  <si>
    <t>Total Research Cost expected from funder</t>
  </si>
  <si>
    <t>Total Cost + mff</t>
  </si>
  <si>
    <t>Cost in Year 1</t>
  </si>
  <si>
    <t>Cost in Year 2</t>
  </si>
  <si>
    <t>Cost in Year 3</t>
  </si>
  <si>
    <t>Cost in Year 4</t>
  </si>
  <si>
    <t>Cost in Year 5</t>
  </si>
  <si>
    <t>Cost in Year 6</t>
  </si>
  <si>
    <t>Cost in Year 7</t>
  </si>
  <si>
    <t>Role</t>
  </si>
  <si>
    <t>Specify if other support function</t>
  </si>
  <si>
    <t>TOTAL Reasearch cost for  Per Patient - Staff time, Lab investigations</t>
  </si>
  <si>
    <t>Price + mff if applicable</t>
  </si>
  <si>
    <t>Reviewed by</t>
  </si>
  <si>
    <r>
      <t xml:space="preserve">Application Type - For 2 stage application, select </t>
    </r>
    <r>
      <rPr>
        <b/>
        <sz val="10"/>
        <color rgb="FFFF0000"/>
        <rFont val="Calibri"/>
        <family val="2"/>
        <charset val="0"/>
        <scheme val="minor"/>
      </rPr>
      <t>EOI</t>
    </r>
    <r>
      <rPr>
        <b/>
        <sz val="10"/>
        <color indexed="8"/>
        <rFont val="Calibri"/>
        <family val="2"/>
        <charset val="0"/>
      </rPr>
      <t xml:space="preserve"> </t>
    </r>
    <r>
      <rPr>
        <b/>
        <sz val="10"/>
        <color rgb="FFFF0000"/>
        <rFont val="Calibri"/>
        <family val="2"/>
        <charset val="0"/>
        <scheme val="minor"/>
      </rPr>
      <t>or Outline</t>
    </r>
    <r>
      <rPr>
        <b/>
        <sz val="10"/>
        <color indexed="8"/>
        <rFont val="Calibri"/>
        <family val="2"/>
        <charset val="0"/>
      </rPr>
      <t xml:space="preserve"> for stage 1 or </t>
    </r>
    <r>
      <rPr>
        <b/>
        <sz val="10"/>
        <color rgb="FFFF0000"/>
        <rFont val="Calibri"/>
        <family val="2"/>
        <charset val="0"/>
        <scheme val="minor"/>
      </rPr>
      <t>full</t>
    </r>
    <r>
      <rPr>
        <b/>
        <sz val="10"/>
        <color indexed="8"/>
        <rFont val="Calibri"/>
        <family val="2"/>
        <charset val="0"/>
      </rPr>
      <t xml:space="preserve"> for stage 2.  For only 1 stage application select </t>
    </r>
    <r>
      <rPr>
        <b/>
        <sz val="10"/>
        <color rgb="FFFF0000"/>
        <rFont val="Calibri"/>
        <family val="2"/>
        <charset val="0"/>
        <scheme val="minor"/>
      </rPr>
      <t>Full 1 stage</t>
    </r>
  </si>
  <si>
    <t>BMA Fellow rate (top specialist reg full + employer costs 25%)</t>
  </si>
  <si>
    <t>1 per patient</t>
  </si>
  <si>
    <t>1hr per year of study open</t>
  </si>
  <si>
    <t>3hrs per year of open study</t>
  </si>
  <si>
    <t>1 per month of open study</t>
  </si>
  <si>
    <t>1 per IMP delivery</t>
  </si>
  <si>
    <t>1 per IMP destruction</t>
  </si>
  <si>
    <t>1 per return to sponsor</t>
  </si>
  <si>
    <t>1 per monitoring visit</t>
  </si>
  <si>
    <t>Pharmacy set up type A</t>
  </si>
  <si>
    <t>Pharmacy set up type B</t>
  </si>
  <si>
    <t>Pharmacy set up type C</t>
  </si>
  <si>
    <t>IMP management fee per annum (1 year)</t>
  </si>
  <si>
    <t>Are you costing for all sites</t>
  </si>
  <si>
    <t>Total number of SITES</t>
  </si>
  <si>
    <t>Cost in Year 8</t>
  </si>
  <si>
    <t>Cost Per participant</t>
  </si>
  <si>
    <t>Number of Visit</t>
  </si>
  <si>
    <t>Directly  Allocated Staff (Pi's, CO I's ETC)</t>
  </si>
  <si>
    <t>Name of the Institution</t>
  </si>
  <si>
    <t>cost</t>
  </si>
  <si>
    <t>Total cost on per-patient tab already included in B13 total</t>
  </si>
  <si>
    <t xml:space="preserve">Support Costs (Core funded costs) </t>
  </si>
  <si>
    <t>Research Cost A (to be funded by grant)</t>
  </si>
  <si>
    <t xml:space="preserve">Research Cost B </t>
  </si>
  <si>
    <t>Treatment Costs (Funded by Commissioners)</t>
  </si>
  <si>
    <t>Excess Treatment Costs (request funding from CRN if over £1K)</t>
  </si>
  <si>
    <t>Per hour</t>
  </si>
  <si>
    <t>Per Day</t>
  </si>
  <si>
    <t>Transportation &amp; Subsistance</t>
  </si>
  <si>
    <t>Dissemination - Open Access</t>
  </si>
  <si>
    <t>£2,000 - £4,000</t>
  </si>
  <si>
    <t>Variable - Ask PI</t>
  </si>
  <si>
    <t>Conference costs</t>
  </si>
  <si>
    <t>Train cost</t>
  </si>
  <si>
    <t>Hotel Costs</t>
  </si>
  <si>
    <t>Mileage</t>
  </si>
  <si>
    <t>£0.56p per mile</t>
  </si>
  <si>
    <t>Subsistance at conference per day</t>
  </si>
  <si>
    <t>PPI Costs (All costings that UHS is the lead)</t>
  </si>
  <si>
    <t>Dissemination Costs  (All costings that UHS is the lead)</t>
  </si>
  <si>
    <t>Other institutions cost</t>
  </si>
  <si>
    <t>Totals UHS cost</t>
  </si>
  <si>
    <t>Other Institutions cost</t>
  </si>
  <si>
    <t>Total Project cost</t>
  </si>
  <si>
    <t>Dissemination cost</t>
  </si>
  <si>
    <t>Alternatively you can google distance for flights , train, taxi (public transportation ), estimates can be gotten online. For personal vehicles, millage can be checked on google and muliplied by the standard mNHS milleage blow</t>
  </si>
  <si>
    <t>check hotel online, alternatively a rate between £60 to £100 per day could be applied. Note meals should be computted at £20 daily</t>
  </si>
  <si>
    <t>These are average costs, please note:</t>
  </si>
  <si>
    <t>* may involve any number of iterations and therefore take longer than time in column “basis for cost”.</t>
  </si>
  <si>
    <t># may take longer for complex studies and especially for paediatric studies.</t>
  </si>
  <si>
    <t>Cost</t>
  </si>
  <si>
    <t>Unit</t>
  </si>
  <si>
    <t>Basis for cost</t>
  </si>
  <si>
    <t>Contracts and Grants Team</t>
  </si>
  <si>
    <t>Contract Management – clinical trial agreement/funding agreement</t>
  </si>
  <si>
    <t>Per agreement</t>
  </si>
  <si>
    <t>Band 8b Senior Contract Manager</t>
  </si>
  <si>
    <t>(drafting, reviewing renegotiation, amendments*)</t>
  </si>
  <si>
    <t>10 days</t>
  </si>
  <si>
    <t>Contract Management – drug supply agreement, subcontracts, collaboration agreements, grant award contracts/letters</t>
  </si>
  <si>
    <t>(drafting, reviewing, renegotiation, amendments*)</t>
  </si>
  <si>
    <t>5 days</t>
  </si>
  <si>
    <t>Contract Management – site agreements (review, amendments)</t>
  </si>
  <si>
    <t>Per site</t>
  </si>
  <si>
    <t>Band 7 Contract Manager</t>
  </si>
  <si>
    <t xml:space="preserve"> ½ day</t>
  </si>
  <si>
    <t>Financial Management – costings and adjustments to costing *</t>
  </si>
  <si>
    <t>Single (upfront)</t>
  </si>
  <si>
    <t>Band 6 Grants Accountant/Grants Facilitator</t>
  </si>
  <si>
    <t>5-10 days</t>
  </si>
  <si>
    <t>Financial Management – budget management, invoicing, reporting</t>
  </si>
  <si>
    <t>Per year</t>
  </si>
  <si>
    <t>Band 6 Grants Accountant</t>
  </si>
  <si>
    <t>Grant Management- assistance with grant application submission and advice</t>
  </si>
  <si>
    <t>Single</t>
  </si>
  <si>
    <t>Band 7 Grants Manager</t>
  </si>
  <si>
    <t>2 days</t>
  </si>
  <si>
    <t>Sponsorship Team –  Study Management</t>
  </si>
  <si>
    <t>Green Light approval – MHRA approved study (site assessment and set up)</t>
  </si>
  <si>
    <t>Band 6 Clinical Trial Project Manager</t>
  </si>
  <si>
    <t>2 hours</t>
  </si>
  <si>
    <t>Green light approval – non-MHRA (site assessment and set up)</t>
  </si>
  <si>
    <t>1 hour</t>
  </si>
  <si>
    <t>SIV – MHRA approved study</t>
  </si>
  <si>
    <t>1 day plus travel</t>
  </si>
  <si>
    <t>SIV – non-MHRA study</t>
  </si>
  <si>
    <t>½  day plus travel</t>
  </si>
  <si>
    <t>Close out</t>
  </si>
  <si>
    <t>Per Site</t>
  </si>
  <si>
    <t>Sponsorship Team - Regulatory Preparation #</t>
  </si>
  <si>
    <t>Sponsorship review of documents and regulatory submission – MHRA approved study</t>
  </si>
  <si>
    <t>Sponsorship review of documents and regulatory submission – non-MHRA study</t>
  </si>
  <si>
    <t>Pharmacy technical review #</t>
  </si>
  <si>
    <t>Per reviewer</t>
  </si>
  <si>
    <t>Band 7 Pharmacist/technician</t>
  </si>
  <si>
    <t>Pharmacy specific sponsor review #</t>
  </si>
  <si>
    <t>Radiology technical review #</t>
  </si>
  <si>
    <t>Band 7 radiologist</t>
  </si>
  <si>
    <t>Amendments to HRA And MHRA approvals</t>
  </si>
  <si>
    <t>Per amendment</t>
  </si>
  <si>
    <t>Band 6 Clinical Trial Project manager</t>
  </si>
  <si>
    <t>3 hours</t>
  </si>
  <si>
    <t>Amendments to HRA and Non-MHRA approvals</t>
  </si>
  <si>
    <t>Sponsorship Team - Compliance for MHRA approved study #</t>
  </si>
  <si>
    <t>Risk Proportionate monitoring</t>
  </si>
  <si>
    <t>Per site per year</t>
  </si>
  <si>
    <t>Band 6 Clinical Trial Project manager or designated  monitor</t>
  </si>
  <si>
    <t>3 days</t>
  </si>
  <si>
    <t>Emergency contact</t>
  </si>
  <si>
    <t>Safety and compliance reporting</t>
  </si>
  <si>
    <t>Sponsorship Team - Compliance for non- MHRA study #</t>
  </si>
  <si>
    <t>2 day</t>
  </si>
  <si>
    <t>Sponsorship team – other R&amp;D costs</t>
  </si>
  <si>
    <t>Archiving</t>
  </si>
  <si>
    <t>Per box  each 5 year period</t>
  </si>
  <si>
    <t>MHRA (CTIMP) Initial Application Fee – Higher Fee (Phase 1 Full &amp; Simplified IMPD)</t>
  </si>
  <si>
    <t>On Application</t>
  </si>
  <si>
    <t>Pass through cost</t>
  </si>
  <si>
    <t>MHRA (CTIMP) Initial Application Fee – Lower Fee (Phase IV (Type A)</t>
  </si>
  <si>
    <t>MHRA (CTIMP) amendment Fee</t>
  </si>
  <si>
    <t>MHRA (Medical Device) – Class 1, 11a or 11b</t>
  </si>
  <si>
    <t>On application</t>
  </si>
  <si>
    <t>MHRA (Medical Device) – Class 1, 11a or 11b (amendment)</t>
  </si>
  <si>
    <t>MHRA (Medical Device) – Class 11b implantable or long term invasive, Class III, and active implantable devices</t>
  </si>
  <si>
    <t>MHRA (Medical Device) – Class 11b implantable or long term invasive, Class III, and active implantable devices (amendment)</t>
  </si>
  <si>
    <t>ARSAC  - multi-centre studies</t>
  </si>
  <si>
    <t>ARSAC – single-centre studies</t>
  </si>
  <si>
    <t>ARSAC – low dose studies (&lt;1mSV total participant dose</t>
  </si>
  <si>
    <t>ARSAC amendments</t>
  </si>
  <si>
    <t>Trial Registration fees (ISCRTN)</t>
  </si>
  <si>
    <t>Insert number of participants for this arm</t>
  </si>
  <si>
    <t>Totals cost</t>
  </si>
  <si>
    <t>Total funded cost</t>
  </si>
  <si>
    <t>e.g See CTU tab for breakdown</t>
  </si>
  <si>
    <r>
      <t xml:space="preserve">Other insitutions cost </t>
    </r>
    <r>
      <rPr>
        <b/>
        <sz val="10"/>
        <color rgb="FFFF0000"/>
        <rFont val="Arial"/>
        <family val="2"/>
        <charset val="0"/>
      </rPr>
      <t>(find breakdown on UHS individual cost tab)</t>
    </r>
  </si>
  <si>
    <r>
      <t>OTHER COSTS:</t>
    </r>
    <r>
      <rPr>
        <b/>
        <sz val="11"/>
        <color rgb="FFFF0000"/>
        <rFont val="Calibri"/>
        <family val="2"/>
        <charset val="0"/>
        <scheme val="minor"/>
      </rPr>
      <t xml:space="preserve"> (For more information on PPI cost, please check PPI tab)</t>
    </r>
  </si>
  <si>
    <r>
      <t>PPI staff time to organise meeting (~10hrs) for 12 meetings through the project</t>
    </r>
    <r>
      <rPr>
        <sz val="14"/>
        <color rgb="FFFF0000"/>
        <rFont val="Calibri"/>
        <family val="2"/>
        <charset val="0"/>
        <scheme val="minor"/>
      </rPr>
      <t>*</t>
    </r>
  </si>
  <si>
    <r>
      <t>8 Online meeting (</t>
    </r>
    <r>
      <rPr>
        <b/>
        <sz val="14"/>
        <color theme="1"/>
        <rFont val="Calibri"/>
        <family val="2"/>
        <charset val="0"/>
        <scheme val="minor"/>
      </rPr>
      <t>1.5hr</t>
    </r>
    <r>
      <rPr>
        <sz val="14"/>
        <color theme="1"/>
        <rFont val="Calibri"/>
        <family val="2"/>
        <charset val="0"/>
        <scheme val="minor"/>
      </rPr>
      <t xml:space="preserve">) with </t>
    </r>
    <r>
      <rPr>
        <b/>
        <sz val="14"/>
        <color rgb="FFFF0000"/>
        <rFont val="Calibri"/>
        <family val="2"/>
        <charset val="0"/>
        <scheme val="minor"/>
      </rPr>
      <t>4 PPIs</t>
    </r>
  </si>
  <si>
    <r>
      <t>4 Face-to-face meeting (</t>
    </r>
    <r>
      <rPr>
        <b/>
        <sz val="14"/>
        <color theme="1"/>
        <rFont val="Calibri"/>
        <family val="2"/>
        <charset val="0"/>
        <scheme val="minor"/>
      </rPr>
      <t>1.5hr</t>
    </r>
    <r>
      <rPr>
        <sz val="14"/>
        <color theme="1"/>
        <rFont val="Calibri"/>
        <family val="2"/>
        <charset val="0"/>
        <scheme val="minor"/>
      </rPr>
      <t>) with 4</t>
    </r>
    <r>
      <rPr>
        <b/>
        <sz val="14"/>
        <color rgb="FFFF0000"/>
        <rFont val="Calibri"/>
        <family val="2"/>
        <charset val="0"/>
        <scheme val="minor"/>
      </rPr>
      <t xml:space="preserve"> PPIs</t>
    </r>
  </si>
  <si>
    <r>
      <t xml:space="preserve">PPI Staff time(NHS Band 5-  £ 12.74/hr) </t>
    </r>
    <r>
      <rPr>
        <sz val="14"/>
        <color rgb="FFFF0000"/>
        <rFont val="Calibri"/>
        <family val="2"/>
        <charset val="0"/>
        <scheme val="minor"/>
      </rPr>
      <t>ref. a</t>
    </r>
  </si>
  <si>
    <t>PPI contributor's time/hr (based on UHS payment policy)</t>
  </si>
  <si>
    <r>
      <t>NIHR CED remote working fee (</t>
    </r>
    <r>
      <rPr>
        <sz val="14"/>
        <color rgb="FFFF0000"/>
        <rFont val="Calibri"/>
        <family val="2"/>
        <charset val="0"/>
        <scheme val="minor"/>
      </rPr>
      <t>ref. b</t>
    </r>
    <r>
      <rPr>
        <sz val="14"/>
        <color theme="1"/>
        <rFont val="Calibri"/>
        <family val="2"/>
        <charset val="0"/>
        <scheme val="minor"/>
      </rPr>
      <t>)</t>
    </r>
  </si>
  <si>
    <t>Mileage per person  (56p/mile;parking ticket, bus, train ticket)</t>
  </si>
  <si>
    <t>Catering (tea, coffee, pastries)</t>
  </si>
  <si>
    <t>Stationery, materials for meeting</t>
  </si>
  <si>
    <t>Total cost for the duration of the project</t>
  </si>
  <si>
    <t>PPI office (Organising meetings and attending meetings)</t>
  </si>
  <si>
    <t>PPI representatives' attendance</t>
  </si>
  <si>
    <t>https://www.nhsemployers.org/pay-pensions-and-reward/agenda-for-change/pay-scales/hourly</t>
  </si>
  <si>
    <t>https://www.nihr.ac.uk/documents/centre-for-engagement-and-dissemination-recognition-payments-for-public-contributors/24979#Remote_working_costs</t>
  </si>
  <si>
    <t>10 hours of staff time include- sorting out invitations, confirming attendance, facilitating meeting, writing up notes, processing paper work and expense forms post meeting</t>
  </si>
  <si>
    <r>
      <t>Lead/Host Institution</t>
    </r>
    <r>
      <rPr>
        <b/>
        <sz val="10"/>
        <color rgb="FFFF0000"/>
        <rFont val="Calibri"/>
        <family val="2"/>
        <charset val="0"/>
        <scheme val="minor"/>
      </rPr>
      <t xml:space="preserve"> (Sponsor Organisation)</t>
    </r>
  </si>
  <si>
    <r>
      <t>PLEASE INFORM THE PI TO CONTACT THE PPI TEAM (CAROLINE BARKER - Public Involvement  -&lt;PublicInvolvement@uhs.nhs.uk&gt; TO PROVIDE COST (</t>
    </r>
    <r>
      <rPr>
        <b/>
        <sz val="12"/>
        <color rgb="FFFF0000"/>
        <rFont val="Arial"/>
        <family val="2"/>
        <charset val="0"/>
      </rPr>
      <t>NOTE, info below is just for guidance</t>
    </r>
    <r>
      <rPr>
        <b/>
        <sz val="12"/>
        <rFont val="Arial"/>
        <family val="2"/>
        <charset val="0"/>
      </rPr>
      <t xml:space="preserve"> )</t>
    </r>
  </si>
  <si>
    <t>Name if Known otherwise use TBD(to be decided)</t>
  </si>
  <si>
    <t>R&amp;D Set-up and Mgt. fee</t>
  </si>
  <si>
    <t>Note/ Description of cost</t>
  </si>
  <si>
    <t>NOTE</t>
  </si>
  <si>
    <t>Indirect cost e.g (overheads)</t>
  </si>
  <si>
    <t>UHS individual cost overhead</t>
  </si>
  <si>
    <t>Applicant's Specialty Area and Division</t>
  </si>
  <si>
    <t>e.g Medicine/Div B, Oncology/Div A,  etc</t>
  </si>
  <si>
    <t>Trial/ Project Manager</t>
  </si>
  <si>
    <t>Sponsorship in Principle form Completed (Please add note if form not applicable)</t>
  </si>
  <si>
    <t xml:space="preserve">Researchers applying for non-commercial research grants involving NHS resources (patients, staff, equipment and facilities) may be required to complete a SoECAT form - please check your grant requirements.
</t>
  </si>
  <si>
    <t>*Breakdown of yearly salary, including on costs. Increment taken into account if appropriate*</t>
  </si>
  <si>
    <t>Nurse (band 6)</t>
  </si>
  <si>
    <t>Admin
(band 5)</t>
  </si>
  <si>
    <t>Project manager (band 7)</t>
  </si>
  <si>
    <t>£25 per hour session per participant and £5 per person for online access</t>
  </si>
  <si>
    <t>Ophthalmology</t>
  </si>
  <si>
    <t>Sponsorship Fee or R&amp;D management fee, as applicable</t>
  </si>
  <si>
    <t>Costs provided by</t>
  </si>
  <si>
    <t>Tab completed by</t>
  </si>
  <si>
    <t>Lead Applicant +
Lead applicant email address</t>
  </si>
  <si>
    <t>Local PI if applicable +
Local PI email address</t>
  </si>
  <si>
    <t>Exchange rate</t>
  </si>
  <si>
    <t>Date of Calculation</t>
  </si>
  <si>
    <t xml:space="preserve"> INCLUDE VAT IN QUOTES FROM EXTERNAL SUPPLIERS including UOS</t>
  </si>
  <si>
    <t>R&amp;D: ENSURE ANY CHANGES TO TAB NAMES ARE CORRECTLY PICKED UP IN SUMMARY TAB FORMULAE</t>
  </si>
  <si>
    <t>Overheads should be apply only to Investigator-led grants, Research council and any funder which it is applicable. Non comm funders such as NIHR, charities are exempt</t>
  </si>
  <si>
    <t>Schedule of Events Cost Attribution Tool (SoECAT) - online only</t>
  </si>
  <si>
    <t>Cost attribution (select from drop down)</t>
  </si>
  <si>
    <t>DI = resources exclusively related to this project - based on actual cash values</t>
  </si>
  <si>
    <t>DA = resources shared with other projects - based on estimates</t>
  </si>
  <si>
    <t>https://www.nihr.ac.uk/documents/online-soecat-guidance/30396</t>
  </si>
  <si>
    <t>sponsor oversight</t>
  </si>
  <si>
    <t>pass through costs</t>
  </si>
  <si>
    <t>Fees to be determined by R&amp;D central team</t>
  </si>
  <si>
    <t>grants, contracts and finance management</t>
  </si>
  <si>
    <t xml:space="preserve">SPONSORSHIP / R&amp;D COST BREAKDOWN </t>
  </si>
  <si>
    <r>
      <t xml:space="preserve">NB: R&amp;D costs will be added where possible to NIHR, MRC, Personal Awards and Charity grants (External organisation, such as the EU, NIH will be charged for the sponsorship and management fee even though they are non commercial organisation. The sponsorship fees </t>
    </r>
    <r>
      <rPr>
        <b/>
        <u val="single"/>
        <sz val="10"/>
        <color rgb="FFFF0000"/>
        <rFont val="Calibri"/>
        <family val="2"/>
        <charset val="0"/>
      </rPr>
      <t xml:space="preserve">will apply to all investigator-led and commercial funders, including educational awards, </t>
    </r>
    <r>
      <rPr>
        <b/>
        <sz val="10"/>
        <color rgb="FFFF0000"/>
        <rFont val="Calibri"/>
        <family val="2"/>
        <charset val="0"/>
        <scheme val="minor"/>
      </rPr>
      <t>where the UHS is the sponsor
Pass through costs are applied to all funding applications</t>
    </r>
  </si>
  <si>
    <t>Insert Sponsorship / R&amp;D support costs here</t>
  </si>
  <si>
    <t>PASS THROUGH COSTS ARE NON-NEGOTIABLE RESEARCH COSTS AND SHOULD BE INCLUDED AS AN ADDITIONAL ACTIVITY IN THE APPLICATION</t>
  </si>
  <si>
    <t>Archiving fee (covering preparation and indefinite storage per study) and other pass through costs</t>
  </si>
  <si>
    <t>remove C4 if GCF included here</t>
  </si>
  <si>
    <t>For R&amp;D office use only</t>
  </si>
  <si>
    <t>SIV attendance</t>
  </si>
  <si>
    <t>training</t>
  </si>
  <si>
    <t>archiving - preparation</t>
  </si>
  <si>
    <t>monitoring - preparation</t>
  </si>
  <si>
    <t xml:space="preserve">Ensure pass through costs are included in study research costs and applied for in the grant
</t>
  </si>
  <si>
    <t>Archiving - minimum £570 per box/5 yrs if not otherwise specified</t>
  </si>
  <si>
    <t>Not included in personal awards, or studies where UHS is claiming for sponsorship cost. Also if the R&amp;D Overheads amount is less than 5k, then template will automatically include £500. But if more than £5k the R&amp;D setup will be £0</t>
  </si>
  <si>
    <t>2024/25 rates</t>
  </si>
  <si>
    <t>BMA Consultant rate (top + employer costs 25%) - August 2024 rates</t>
  </si>
  <si>
    <t>Is a CTU involved?</t>
  </si>
  <si>
    <t>check for support of a CTU</t>
  </si>
  <si>
    <t>ADD 5.5% AfC payrise</t>
  </si>
  <si>
    <t xml:space="preserve">revised consultant and AfC rates - v20 06/10/2024 </t>
  </si>
  <si>
    <t>Pay rates as per 24/25 agreed pay schedules for Medics and AFC (agenda for Change) plus oncosts, and Pay &amp; Condition Circular MD-5/2024</t>
  </si>
</sst>
</file>

<file path=xl/styles.xml><?xml version="1.0" encoding="utf-8"?>
<styleSheet xmlns:mc="http://schemas.openxmlformats.org/markup-compatibility/2006" xmlns:x14ac="http://schemas.microsoft.com/office/spreadsheetml/2009/9/ac" xmlns="http://schemas.openxmlformats.org/spreadsheetml/2006/main" mc:Ignorable="x14ac">
  <numFmts count="20">
    <numFmt numFmtId="6" formatCode="&quot;£&quot;#,##0;[Red]\-&quot;£&quot;#,##0"/>
    <numFmt numFmtId="7" formatCode="&quot;£&quot;#,##0.00;\-&quot;£&quot;#,##0.00"/>
    <numFmt numFmtId="8" formatCode="&quot;£&quot;#,##0.00;[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Red]_-&quot;£&quot;* #,##0.00_-;\-&quot;£&quot;* #,##0.00_-;_-&quot;£&quot;* &quot;-&quot;??_-;_-@_-"/>
    <numFmt numFmtId="165" formatCode="_-&quot;£&quot;* #,##0.00_-;&quot;£&quot;* \(#,##0.00\)_-;_-&quot;£&quot;* &quot;-&quot;??_-;_-@_-"/>
    <numFmt numFmtId="166" formatCode="0.000"/>
    <numFmt numFmtId="167" formatCode="0.0%"/>
    <numFmt numFmtId="168" formatCode="#,##0_ ;\-#,##0\ "/>
    <numFmt numFmtId="169" formatCode="&quot;£&quot;#,##0.00"/>
    <numFmt numFmtId="170" formatCode="#,##0;[Red]\(#,##0\)"/>
    <numFmt numFmtId="171" formatCode="#,##0.00;[Red]\(#,##0.00\)"/>
    <numFmt numFmtId="172" formatCode="#,##0.00_ ;[Red]\-#,##0.00\ "/>
    <numFmt numFmtId="173" formatCode="_-* #,##0_-;\-* #,##0_-;_-* &quot;-&quot;??_-;_-@_-"/>
    <numFmt numFmtId="174" formatCode="_-* #,##0.00_-;\-* #,##0.00_-;_-* \-??_-;_-@_-"/>
    <numFmt numFmtId="175" formatCode="_-[$£-809]* #,##0.00_-;\-[$£-809]* #,##0.00_-;_-[$£-809]* &quot;-&quot;??_-;_-@_-"/>
    <numFmt numFmtId="176" formatCode="&quot;£&quot;#,##0"/>
  </numFmts>
  <fonts count="111">
    <font>
      <sz val="10"/>
      <name val="Arial"/>
      <charset val="0"/>
    </font>
    <font>
      <sz val="11"/>
      <color theme="1"/>
      <name val="Calibri"/>
      <family val="2"/>
      <charset val="0"/>
      <scheme val="minor"/>
    </font>
    <font>
      <sz val="10"/>
      <name val="Calibri"/>
      <family val="2"/>
      <charset val="0"/>
    </font>
    <font>
      <sz val="10"/>
      <color indexed="8"/>
      <name val="Calibri"/>
      <family val="2"/>
      <charset val="0"/>
    </font>
    <font>
      <sz val="10"/>
      <name val="Arial"/>
      <charset val="0"/>
    </font>
    <font>
      <b/>
      <sz val="10"/>
      <color indexed="8"/>
      <name val="Calibri"/>
      <family val="2"/>
      <charset val="0"/>
    </font>
    <font>
      <i/>
      <sz val="10"/>
      <color indexed="8"/>
      <name val="Calibri"/>
      <family val="2"/>
      <charset val="0"/>
    </font>
    <font>
      <b/>
      <i/>
      <sz val="10"/>
      <color indexed="8"/>
      <name val="Calibri"/>
      <family val="2"/>
      <charset val="0"/>
    </font>
    <font>
      <b/>
      <sz val="11"/>
      <color indexed="8"/>
      <name val="Calibri"/>
      <family val="2"/>
      <charset val="0"/>
    </font>
    <font>
      <b/>
      <i/>
      <sz val="12"/>
      <color indexed="8"/>
      <name val="Calibri"/>
      <family val="2"/>
      <charset val="0"/>
    </font>
    <font>
      <sz val="8"/>
      <name val="Calibri"/>
      <family val="2"/>
      <charset val="0"/>
    </font>
    <font>
      <b/>
      <i/>
      <sz val="11"/>
      <color indexed="8"/>
      <name val="Calibri"/>
      <family val="2"/>
      <charset val="0"/>
    </font>
    <font>
      <b/>
      <i/>
      <sz val="11"/>
      <color theme="1"/>
      <name val="Calibri"/>
      <family val="2"/>
      <charset val="0"/>
      <scheme val="minor"/>
    </font>
    <font>
      <sz val="10"/>
      <name val="Arial"/>
      <family val="2"/>
      <charset val="0"/>
    </font>
    <font>
      <b/>
      <sz val="14"/>
      <name val="Arial"/>
      <family val="2"/>
      <charset val="0"/>
    </font>
    <font>
      <b/>
      <sz val="12"/>
      <name val="Arial"/>
      <family val="2"/>
      <charset val="0"/>
    </font>
    <font>
      <b/>
      <sz val="14"/>
      <color indexed="9"/>
      <name val="Arial"/>
      <family val="2"/>
      <charset val="0"/>
    </font>
    <font>
      <b/>
      <sz val="10"/>
      <name val="Arial"/>
      <family val="2"/>
      <charset val="0"/>
    </font>
    <font>
      <sz val="10"/>
      <color indexed="9"/>
      <name val="Arial"/>
      <family val="2"/>
      <charset val="0"/>
    </font>
    <font>
      <b/>
      <sz val="10"/>
      <color indexed="9"/>
      <name val="Arial"/>
      <family val="2"/>
      <charset val="0"/>
    </font>
    <font>
      <sz val="10"/>
      <color indexed="10"/>
      <name val="Arial"/>
      <family val="2"/>
      <charset val="0"/>
    </font>
    <font>
      <sz val="8"/>
      <name val="Arial"/>
      <family val="2"/>
      <charset val="0"/>
    </font>
    <font>
      <sz val="9"/>
      <name val="Arial"/>
      <family val="2"/>
      <charset val="0"/>
    </font>
    <font>
      <b/>
      <sz val="8"/>
      <name val="Arial"/>
      <family val="2"/>
      <charset val="0"/>
    </font>
    <font>
      <sz val="12"/>
      <color indexed="10"/>
      <name val="Arial"/>
      <family val="2"/>
      <charset val="0"/>
    </font>
    <font>
      <sz val="6"/>
      <name val="Arial"/>
      <family val="2"/>
      <charset val="0"/>
    </font>
    <font>
      <sz val="7"/>
      <name val="Arial"/>
      <family val="2"/>
      <charset val="0"/>
    </font>
    <font>
      <u val="single"/>
      <sz val="6"/>
      <name val="Arial Narrow"/>
      <family val="2"/>
      <charset val="0"/>
    </font>
    <font>
      <sz val="6"/>
      <name val="Arial Narrow"/>
      <family val="2"/>
      <charset val="0"/>
    </font>
    <font>
      <sz val="10"/>
      <name val="Arial Narrow"/>
      <family val="2"/>
      <charset val="0"/>
    </font>
    <font>
      <sz val="12"/>
      <name val="Arial Narrow"/>
      <family val="2"/>
      <charset val="0"/>
    </font>
    <font>
      <b/>
      <sz val="10"/>
      <name val="Arial Narrow"/>
      <family val="2"/>
      <charset val="0"/>
    </font>
    <font>
      <sz val="11"/>
      <name val="Arial"/>
      <family val="2"/>
      <charset val="0"/>
    </font>
    <font>
      <b/>
      <sz val="8"/>
      <color indexed="81"/>
      <name val="Tahoma"/>
      <family val="2"/>
      <charset val="0"/>
    </font>
    <font>
      <sz val="8"/>
      <color indexed="81"/>
      <name val="Tahoma"/>
      <family val="2"/>
      <charset val="0"/>
    </font>
    <font>
      <sz val="11"/>
      <color theme="1"/>
      <name val="Arial"/>
      <family val="2"/>
      <charset val="0"/>
    </font>
    <font>
      <b/>
      <i/>
      <sz val="11"/>
      <color indexed="18"/>
      <name val="Arial"/>
      <family val="2"/>
      <charset val="0"/>
    </font>
    <font>
      <b/>
      <sz val="11"/>
      <color theme="1"/>
      <name val="Calibri"/>
      <family val="2"/>
      <charset val="0"/>
      <scheme val="minor"/>
    </font>
    <font>
      <b/>
      <u val="single"/>
      <sz val="11"/>
      <color theme="1"/>
      <name val="Calibri"/>
      <family val="2"/>
      <charset val="0"/>
      <scheme val="minor"/>
    </font>
    <font>
      <sz val="11"/>
      <color indexed="8"/>
      <name val="Calibri"/>
      <family val="2"/>
      <charset val="0"/>
    </font>
    <font>
      <b/>
      <u val="single"/>
      <sz val="16"/>
      <color theme="1"/>
      <name val="Calibri"/>
      <family val="2"/>
      <charset val="0"/>
      <scheme val="minor"/>
    </font>
    <font>
      <sz val="16"/>
      <color theme="1"/>
      <name val="Calibri"/>
      <family val="2"/>
      <charset val="0"/>
      <scheme val="minor"/>
    </font>
    <font>
      <b/>
      <sz val="12"/>
      <color rgb="FFFF0000"/>
      <name val="Arial"/>
      <family val="2"/>
      <charset val="0"/>
    </font>
    <font>
      <b/>
      <sz val="14"/>
      <color theme="1"/>
      <name val="Calibri"/>
      <family val="2"/>
      <charset val="0"/>
      <scheme val="minor"/>
    </font>
    <font>
      <sz val="11"/>
      <color rgb="FFFF0000"/>
      <name val="Calibri"/>
      <family val="2"/>
      <charset val="0"/>
      <scheme val="minor"/>
    </font>
    <font>
      <sz val="8"/>
      <color theme="1"/>
      <name val="Calibri"/>
      <family val="2"/>
      <charset val="0"/>
      <scheme val="minor"/>
    </font>
    <font>
      <b/>
      <sz val="11"/>
      <name val="Calibri"/>
      <family val="2"/>
      <charset val="0"/>
    </font>
    <font>
      <sz val="11"/>
      <name val="Calibri"/>
      <family val="2"/>
      <charset val="0"/>
    </font>
    <font>
      <b/>
      <sz val="11"/>
      <color rgb="FFFF0000"/>
      <name val="Calibri"/>
      <family val="2"/>
      <charset val="0"/>
      <scheme val="minor"/>
    </font>
    <font>
      <sz val="11"/>
      <color theme="0"/>
      <name val="Calibri"/>
      <family val="2"/>
      <charset val="0"/>
      <scheme val="minor"/>
    </font>
    <font>
      <sz val="10"/>
      <color theme="0"/>
      <name val="Calibri"/>
      <family val="2"/>
      <charset val="0"/>
    </font>
    <font>
      <b/>
      <sz val="10"/>
      <color theme="0"/>
      <name val="Calibri"/>
      <family val="2"/>
      <charset val="0"/>
    </font>
    <font>
      <sz val="10"/>
      <name val="Tahoma"/>
      <family val="2"/>
      <charset val="0"/>
    </font>
    <font>
      <sz val="12"/>
      <color theme="1"/>
      <name val="Calibri"/>
      <family val="2"/>
      <charset val="0"/>
      <scheme val="minor"/>
    </font>
    <font>
      <b/>
      <u val="single"/>
      <sz val="12"/>
      <color theme="1"/>
      <name val="Calibri"/>
      <family val="2"/>
      <charset val="0"/>
      <scheme val="minor"/>
    </font>
    <font>
      <sz val="12"/>
      <color theme="8"/>
      <name val="Calibri"/>
      <family val="2"/>
      <charset val="0"/>
      <scheme val="minor"/>
    </font>
    <font>
      <b/>
      <sz val="12"/>
      <name val="Calibri"/>
      <family val="2"/>
      <charset val="0"/>
      <scheme val="minor"/>
    </font>
    <font>
      <b/>
      <sz val="12"/>
      <color theme="1"/>
      <name val="Calibri"/>
      <family val="2"/>
      <charset val="0"/>
      <scheme val="minor"/>
    </font>
    <font>
      <sz val="12"/>
      <name val="Calibri"/>
      <family val="2"/>
      <charset val="0"/>
      <scheme val="minor"/>
    </font>
    <font>
      <b/>
      <sz val="12"/>
      <color rgb="FFFFFFFF"/>
      <name val="Arial Narrow"/>
      <family val="2"/>
      <charset val="0"/>
    </font>
    <font>
      <sz val="12"/>
      <color rgb="FF000000"/>
      <name val="Arial Narrow"/>
      <family val="2"/>
      <charset val="0"/>
    </font>
    <font>
      <u val="single"/>
      <sz val="11"/>
      <color theme="10"/>
      <name val="Calibri"/>
      <family val="2"/>
      <charset val="0"/>
      <scheme val="minor"/>
    </font>
    <font>
      <b/>
      <i/>
      <sz val="16"/>
      <color indexed="8"/>
      <name val="Calibri"/>
      <family val="2"/>
      <charset val="0"/>
    </font>
    <font>
      <b/>
      <u val="single"/>
      <sz val="11"/>
      <name val="Calibri"/>
      <family val="2"/>
      <charset val="0"/>
      <scheme val="minor"/>
    </font>
    <font>
      <sz val="11"/>
      <color rgb="FF92D050"/>
      <name val="Calibri"/>
      <family val="2"/>
      <charset val="0"/>
      <scheme val="minor"/>
    </font>
    <font>
      <sz val="11"/>
      <color rgb="FF00B050"/>
      <name val="Calibri"/>
      <family val="2"/>
      <charset val="0"/>
      <scheme val="minor"/>
    </font>
    <font>
      <sz val="11"/>
      <color theme="6" tint="-0.249977111117893"/>
      <name val="Calibri"/>
      <family val="2"/>
      <charset val="0"/>
      <scheme val="minor"/>
    </font>
    <font>
      <b/>
      <sz val="8"/>
      <color theme="1"/>
      <name val="Calibri"/>
      <family val="2"/>
      <charset val="0"/>
      <scheme val="minor"/>
    </font>
    <font>
      <b/>
      <sz val="10"/>
      <color theme="0"/>
      <name val="Arial"/>
      <family val="2"/>
      <charset val="0"/>
    </font>
    <font>
      <sz val="11"/>
      <color rgb="FF1F497D"/>
      <name val="Arial"/>
      <family val="2"/>
      <charset val="0"/>
    </font>
    <font>
      <sz val="12"/>
      <name val="Arial"/>
      <family val="2"/>
      <charset val="0"/>
    </font>
    <font>
      <sz val="11"/>
      <color rgb="FF0000FF"/>
      <name val="Arial"/>
      <family val="2"/>
      <charset val="0"/>
    </font>
    <font>
      <u val="single"/>
      <sz val="10"/>
      <color indexed="12"/>
      <name val="Arial"/>
      <family val="2"/>
      <charset val="0"/>
    </font>
    <font>
      <b/>
      <sz val="9"/>
      <color indexed="8"/>
      <name val="Tahoma"/>
      <family val="2"/>
      <charset val="0"/>
    </font>
    <font>
      <sz val="10"/>
      <color rgb="FFFF0000"/>
      <name val="Arial"/>
      <family val="2"/>
      <charset val="0"/>
    </font>
    <font>
      <sz val="9"/>
      <color indexed="81"/>
      <name val="Tahoma"/>
      <family val="2"/>
      <charset val="0"/>
    </font>
    <font>
      <b/>
      <sz val="9"/>
      <color indexed="81"/>
      <name val="Tahoma"/>
      <family val="2"/>
      <charset val="0"/>
    </font>
    <font>
      <sz val="10"/>
      <color rgb="FFFFC000"/>
      <name val="Arial"/>
      <family val="2"/>
      <charset val="0"/>
    </font>
    <font>
      <b/>
      <sz val="10"/>
      <color rgb="FFFF0000"/>
      <name val="Arial"/>
      <family val="2"/>
      <charset val="0"/>
    </font>
    <font>
      <b/>
      <sz val="11"/>
      <color rgb="FF3F3F3F"/>
      <name val="Calibri"/>
      <family val="2"/>
      <charset val="0"/>
      <scheme val="minor"/>
    </font>
    <font>
      <sz val="11"/>
      <color rgb="FF000000"/>
      <name val="Calibri"/>
      <family val="2"/>
      <charset val="0"/>
    </font>
    <font>
      <u val="single"/>
      <sz val="11"/>
      <color rgb="FF0000FF"/>
      <name val="Calibri"/>
      <family val="2"/>
      <charset val="0"/>
    </font>
    <font>
      <sz val="12"/>
      <color rgb="FFFF0000"/>
      <name val="Calibri"/>
      <family val="2"/>
      <charset val="0"/>
      <scheme val="minor"/>
    </font>
    <font>
      <b/>
      <sz val="12"/>
      <color indexed="8"/>
      <name val="Calibri"/>
      <family val="2"/>
      <charset val="0"/>
    </font>
    <font>
      <i/>
      <sz val="11"/>
      <color theme="1"/>
      <name val="Calibri"/>
      <family val="2"/>
      <charset val="0"/>
      <scheme val="minor"/>
    </font>
    <font>
      <sz val="9"/>
      <color rgb="FF000000"/>
      <name val="Tahoma"/>
      <family val="2"/>
      <charset val="0"/>
    </font>
    <font>
      <sz val="11"/>
      <color rgb="FF3F3F3F"/>
      <name val="Calibri"/>
      <family val="2"/>
      <charset val="0"/>
      <scheme val="minor"/>
    </font>
    <font>
      <b/>
      <u val="single"/>
      <sz val="11"/>
      <color rgb="FFFF0000"/>
      <name val="Calibri"/>
      <family val="2"/>
      <charset val="0"/>
      <scheme val="minor"/>
    </font>
    <font>
      <b/>
      <u val="single"/>
      <sz val="11"/>
      <color rgb="FF3F3F3F"/>
      <name val="Calibri"/>
      <family val="2"/>
      <charset val="0"/>
      <scheme val="minor"/>
    </font>
    <font>
      <b/>
      <sz val="16"/>
      <name val="Arial"/>
      <family val="2"/>
      <charset val="0"/>
    </font>
    <font>
      <b/>
      <sz val="16"/>
      <color theme="1"/>
      <name val="Calibri"/>
      <family val="2"/>
      <charset val="0"/>
      <scheme val="minor"/>
    </font>
    <font>
      <b/>
      <i/>
      <sz val="10"/>
      <name val="Calibri"/>
      <family val="2"/>
      <charset val="0"/>
    </font>
    <font>
      <b/>
      <sz val="20"/>
      <name val="Arial"/>
      <family val="2"/>
      <charset val="0"/>
    </font>
    <font>
      <b/>
      <sz val="10"/>
      <color theme="5"/>
      <name val="Calibri"/>
      <family val="2"/>
      <charset val="0"/>
      <scheme val="minor"/>
    </font>
    <font>
      <b/>
      <sz val="10"/>
      <name val="Calibri"/>
      <family val="2"/>
      <charset val="0"/>
      <scheme val="minor"/>
    </font>
    <font>
      <b/>
      <u val="single"/>
      <sz val="10"/>
      <color theme="5"/>
      <name val="Calibri"/>
      <family val="2"/>
      <charset val="0"/>
      <scheme val="minor"/>
    </font>
    <font>
      <b/>
      <sz val="10"/>
      <color rgb="FFFF0000"/>
      <name val="Calibri"/>
      <family val="2"/>
      <charset val="0"/>
      <scheme val="minor"/>
    </font>
    <font>
      <b/>
      <sz val="16"/>
      <name val="Calibri"/>
      <family val="2"/>
      <charset val="0"/>
      <scheme val="minor"/>
    </font>
    <font>
      <b/>
      <sz val="16"/>
      <color rgb="FFFF0000"/>
      <name val="Arial"/>
      <family val="2"/>
      <charset val="0"/>
    </font>
    <font>
      <b/>
      <sz val="18"/>
      <name val="Arial"/>
      <family val="2"/>
      <charset val="0"/>
    </font>
    <font>
      <b/>
      <u val="single"/>
      <sz val="18"/>
      <color theme="1"/>
      <name val="Calibri"/>
      <family val="2"/>
      <charset val="0"/>
      <scheme val="minor"/>
    </font>
    <font>
      <sz val="18"/>
      <name val="Arial"/>
      <family val="2"/>
      <charset val="0"/>
    </font>
    <font>
      <b/>
      <sz val="18"/>
      <color theme="1"/>
      <name val="Calibri"/>
      <family val="2"/>
      <charset val="0"/>
      <scheme val="minor"/>
    </font>
    <font>
      <sz val="20"/>
      <name val="Arial"/>
      <family val="2"/>
      <charset val="0"/>
    </font>
    <font>
      <sz val="14"/>
      <color theme="1"/>
      <name val="Calibri"/>
      <family val="2"/>
      <charset val="0"/>
      <scheme val="minor"/>
    </font>
    <font>
      <sz val="14"/>
      <color rgb="FFFF0000"/>
      <name val="Calibri"/>
      <family val="2"/>
      <charset val="0"/>
      <scheme val="minor"/>
    </font>
    <font>
      <b/>
      <sz val="14"/>
      <color rgb="FFFF0000"/>
      <name val="Calibri"/>
      <family val="2"/>
      <charset val="0"/>
      <scheme val="minor"/>
    </font>
    <font>
      <u val="single"/>
      <sz val="14"/>
      <color theme="10"/>
      <name val="Calibri"/>
      <family val="2"/>
      <charset val="0"/>
      <scheme val="minor"/>
    </font>
    <font>
      <b/>
      <sz val="20"/>
      <color rgb="FFFF0000"/>
      <name val="Arial"/>
      <family val="2"/>
      <charset val="0"/>
    </font>
    <font>
      <b/>
      <u val="single"/>
      <sz val="10"/>
      <color rgb="FFFF0000"/>
      <name val="Calibri"/>
      <family val="2"/>
      <charset val="0"/>
    </font>
    <font>
      <i/>
      <sz val="10"/>
      <name val="Arial"/>
      <family val="2"/>
      <charset val="0"/>
    </font>
  </fonts>
  <fills count="56">
    <fill>
      <patternFill patternType="none">
        <fgColor indexed="64"/>
        <bgColor indexed="65"/>
      </patternFill>
    </fill>
    <fill>
      <patternFill patternType="gray125">
        <fgColor indexed="64"/>
        <bgColor indexed="65"/>
      </patternFill>
    </fill>
    <fill>
      <patternFill patternType="solid">
        <fgColor rgb="FFF2F2F2"/>
        <bgColor indexed="65"/>
      </patternFill>
    </fill>
    <fill>
      <patternFill patternType="solid">
        <fgColor rgb="FFFFFFCC"/>
        <bgColor indexed="65"/>
      </patternFill>
    </fill>
    <fill>
      <patternFill patternType="solid">
        <fgColor indexed="22"/>
        <bgColor indexed="64"/>
      </patternFill>
    </fill>
    <fill>
      <patternFill patternType="solid">
        <fgColor rgb="FFFFFFFF"/>
        <bgColor indexed="64"/>
      </patternFill>
    </fill>
    <fill>
      <patternFill patternType="solid">
        <fgColor indexed="31"/>
        <bgColor indexed="64"/>
      </patternFill>
    </fill>
    <fill>
      <patternFill patternType="solid">
        <fgColor indexed="9"/>
        <bgColor indexed="64"/>
      </patternFill>
    </fill>
    <fill>
      <patternFill patternType="gray125">
        <fgColor indexed="31"/>
        <bgColor indexed="31"/>
      </patternFill>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indexed="20"/>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14"/>
        <bgColor indexed="64"/>
      </patternFill>
    </fill>
    <fill>
      <patternFill patternType="solid">
        <fgColor indexed="5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49"/>
        <bgColor indexed="64"/>
      </patternFill>
    </fill>
    <fill>
      <patternFill patternType="solid">
        <fgColor indexed="50"/>
        <bgColor indexed="64"/>
      </patternFill>
    </fill>
    <fill>
      <patternFill patternType="solid">
        <fgColor rgb="FF00B0F0"/>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rgb="FFE2BCBC"/>
        <bgColor indexed="64"/>
      </patternFill>
    </fill>
    <fill>
      <patternFill patternType="solid">
        <fgColor rgb="FFCCCCFF"/>
        <bgColor rgb="FF000000"/>
      </patternFill>
    </fill>
    <fill>
      <patternFill patternType="solid">
        <fgColor rgb="FFE6B8B7"/>
        <bgColor rgb="FF000000"/>
      </patternFill>
    </fill>
    <fill>
      <patternFill patternType="solid">
        <fgColor theme="4" tint="0.79998168889431442"/>
        <bgColor indexed="64"/>
      </patternFill>
    </fill>
    <fill>
      <patternFill patternType="gray125">
        <fgColor indexed="31"/>
        <bgColor theme="0"/>
      </patternFill>
    </fill>
    <fill>
      <patternFill patternType="solid">
        <fgColor theme="6"/>
        <bgColor indexed="64"/>
      </patternFill>
    </fill>
  </fills>
  <borders count="9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ck">
        <color rgb="FF331188"/>
      </left>
      <right/>
      <top style="thin">
        <color theme="1"/>
      </top>
      <bottom/>
      <diagonal/>
    </border>
    <border>
      <left style="thick">
        <color rgb="FF331188"/>
      </left>
      <right style="thin">
        <color indexed="64"/>
      </right>
      <top style="thin">
        <color theme="1"/>
      </top>
      <bottom style="thin">
        <color indexed="64"/>
      </bottom>
      <diagonal/>
    </border>
    <border>
      <left style="thin">
        <color indexed="64"/>
      </left>
      <right style="thick">
        <color rgb="FF331188"/>
      </right>
      <top style="thin">
        <color theme="1"/>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3F3F3F"/>
      </left>
      <right/>
      <top style="thin">
        <color rgb="FF3F3F3F"/>
      </top>
      <bottom style="thin">
        <color rgb="FF3F3F3F"/>
      </bottom>
      <diagonal/>
    </border>
    <border>
      <left style="thin">
        <color indexed="64"/>
      </left>
      <right/>
      <top style="thin">
        <color rgb="FF3F3F3F"/>
      </top>
      <bottom style="thin">
        <color rgb="FF3F3F3F"/>
      </bottom>
      <diagonal/>
    </border>
    <border>
      <left style="thin">
        <color indexed="64"/>
      </left>
      <right style="thin">
        <color indexed="64"/>
      </right>
      <top style="thin">
        <color rgb="FF3F3F3F"/>
      </top>
      <bottom style="thin">
        <color rgb="FF3F3F3F"/>
      </bottom>
      <diagonal/>
    </border>
    <border>
      <left style="thin">
        <color rgb="FF3F3F3F"/>
      </left>
      <right style="thin">
        <color rgb="FF3F3F3F"/>
      </right>
      <top style="thin">
        <color rgb="FF3F3F3F"/>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rgb="FF3F3F3F"/>
      </top>
      <bottom style="thin">
        <color rgb="FF3F3F3F"/>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3F3F3F"/>
      </left>
      <right style="thin">
        <color indexed="64"/>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top/>
      <bottom style="thin">
        <color rgb="FF3F3F3F"/>
      </bottom>
      <diagonal/>
    </border>
    <border>
      <left style="thin">
        <color rgb="FF3F3F3F"/>
      </left>
      <right style="thin">
        <color rgb="FF3F3F3F"/>
      </right>
      <top/>
      <bottom style="thin">
        <color rgb="FF3F3F3F"/>
      </bottom>
      <diagonal/>
    </border>
    <border>
      <left style="thin">
        <color rgb="FF3F3F3F"/>
      </left>
      <right style="thin">
        <color indexed="64"/>
      </right>
      <top/>
      <bottom style="thin">
        <color rgb="FF3F3F3F"/>
      </bottom>
      <diagonal/>
    </border>
    <border>
      <left/>
      <right style="thin">
        <color rgb="FF3F3F3F"/>
      </right>
      <top/>
      <bottom style="thin">
        <color rgb="FF3F3F3F"/>
      </bottom>
      <diagonal/>
    </border>
    <border>
      <left/>
      <right/>
      <top/>
      <bottom style="thin">
        <color rgb="FF3F3F3F"/>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rgb="FF3F3F3F"/>
      </bottom>
      <diagonal/>
    </border>
    <border>
      <left/>
      <right style="thin">
        <color indexed="64"/>
      </right>
      <top/>
      <bottom style="thin">
        <color rgb="FF3F3F3F"/>
      </bottom>
      <diagonal/>
    </border>
    <border>
      <left/>
      <right style="thin">
        <color rgb="FF3F3F3F"/>
      </right>
      <top style="thin">
        <color rgb="FF3F3F3F"/>
      </top>
      <bottom style="thin">
        <color rgb="FF3F3F3F"/>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top/>
      <bottom/>
      <diagonal/>
    </border>
    <border>
      <left style="thin">
        <color rgb="FF3F3F3F"/>
      </left>
      <right/>
      <top style="thin">
        <color rgb="FF3F3F3F"/>
      </top>
      <bottom/>
      <diagonal/>
    </border>
    <border>
      <left/>
      <right/>
      <top style="thin">
        <color rgb="FF3F3F3F"/>
      </top>
      <bottom/>
      <diagonal/>
    </border>
  </borders>
  <cellStyleXfs count="1417">
    <xf numFmtId="0" fontId="0" fillId="0" borderId="0"/>
    <xf numFmtId="0" fontId="13" fillId="0" borderId="0"/>
    <xf numFmtId="43" fontId="13" fillId="0" borderId="0" applyAlignment="0" applyBorder="0" applyFont="0" applyFill="0" applyProtection="0"/>
    <xf numFmtId="9" fontId="13" fillId="0" borderId="0" applyAlignment="0" applyBorder="0" applyFont="0" applyFill="0" applyProtection="0"/>
    <xf numFmtId="0" fontId="35" fillId="0" borderId="0"/>
    <xf numFmtId="43" fontId="13" fillId="0" borderId="0" applyAlignment="0" applyBorder="0" applyFont="0" applyFill="0" applyProtection="0"/>
    <xf numFmtId="43" fontId="39" fillId="0" borderId="0" applyAlignment="0" applyBorder="0" applyFont="0" applyFill="0" applyProtection="0"/>
    <xf numFmtId="9" fontId="39" fillId="0" borderId="0" applyAlignment="0" applyBorder="0" applyFont="0" applyFill="0" applyProtection="0"/>
    <xf numFmtId="43" fontId="1" fillId="0" borderId="0" applyAlignment="0" applyBorder="0" applyFont="0" applyFill="0" applyProtection="0"/>
    <xf numFmtId="44" fontId="52" fillId="0" borderId="0" applyAlignment="0" applyBorder="0" applyFont="0" applyFill="0" applyProtection="0"/>
    <xf numFmtId="0" fontId="53" fillId="0" borderId="0"/>
    <xf numFmtId="0" fontId="72" fillId="0" borderId="0" applyBorder="0" applyNumberFormat="0" applyFill="0" applyProtection="0">
      <alignment vertical="top"/>
      <protection locked="0"/>
    </xf>
    <xf numFmtId="0" fontId="61" fillId="0" borderId="0" applyAlignment="0" applyBorder="0" applyNumberFormat="0" applyFill="0" applyProtection="0"/>
    <xf numFmtId="0" fontId="13" fillId="0" borderId="0"/>
    <xf numFmtId="0" fontId="53" fillId="0" borderId="0"/>
    <xf numFmtId="0" fontId="35" fillId="0" borderId="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9" fillId="2" borderId="1" applyAlignment="0" applyNumberFormat="0" applyProtection="0"/>
    <xf numFmtId="0" fontId="1" fillId="0" borderId="0"/>
    <xf numFmtId="43" fontId="13" fillId="0" borderId="0" applyAlignment="0" applyBorder="0" applyFont="0" applyFill="0" applyProtection="0"/>
    <xf numFmtId="0" fontId="13" fillId="0" borderId="0"/>
    <xf numFmtId="174" fontId="80" fillId="0" borderId="0" applyBorder="0" applyProtection="0"/>
    <xf numFmtId="9" fontId="80" fillId="0" borderId="0" applyBorder="0" applyProtection="0"/>
    <xf numFmtId="0" fontId="81" fillId="0" borderId="0" applyBorder="0" applyProtection="0"/>
    <xf numFmtId="0" fontId="1" fillId="0" borderId="0"/>
    <xf numFmtId="0" fontId="80"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3" fillId="0" borderId="0"/>
    <xf numFmtId="0" fontId="13" fillId="0" borderId="0"/>
    <xf numFmtId="9" fontId="13" fillId="0" borderId="0" applyAlignment="0" applyBorder="0" applyFont="0" applyFill="0" applyProtection="0"/>
    <xf numFmtId="9" fontId="13" fillId="0" borderId="0" applyAlignment="0" applyBorder="0" applyFont="0" applyFill="0" applyProtection="0"/>
    <xf numFmtId="0" fontId="1" fillId="0" borderId="0"/>
    <xf numFmtId="0" fontId="1" fillId="3" borderId="2" applyAlignment="0" applyFont="0" applyNumberFormat="0" applyProtection="0"/>
    <xf numFmtId="43" fontId="13" fillId="0" borderId="0" applyAlignment="0" applyBorder="0" applyFont="0" applyFill="0" applyProtection="0"/>
    <xf numFmtId="0" fontId="72" fillId="0" borderId="0" applyBorder="0" applyNumberFormat="0" applyFill="0" applyProtection="0">
      <alignment vertical="top"/>
      <protection locked="0"/>
    </xf>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3" fillId="4" borderId="3">
      <alignment vertical="center"/>
    </xf>
    <xf numFmtId="49" fontId="85" fillId="5" borderId="3">
      <alignment vertical="center"/>
    </xf>
    <xf numFmtId="0" fontId="1" fillId="0" borderId="0"/>
    <xf numFmtId="43" fontId="1" fillId="0" borderId="0" applyAlignment="0" applyBorder="0" applyFont="0" applyFill="0" applyProtection="0"/>
    <xf numFmtId="44" fontId="13" fillId="0" borderId="0" applyAlignment="0" applyBorder="0" applyFont="0" applyFill="0" applyProtection="0"/>
    <xf numFmtId="44" fontId="1" fillId="0" borderId="0" applyAlignment="0" applyBorder="0" applyFont="0" applyFill="0" applyProtection="0"/>
    <xf numFmtId="43" fontId="13" fillId="0" borderId="0" applyAlignment="0" applyBorder="0" applyFont="0" applyFill="0" applyProtection="0"/>
    <xf numFmtId="0" fontId="1" fillId="0" borderId="0"/>
    <xf numFmtId="43"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44" fontId="13"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3" fontId="13" fillId="0" borderId="0" applyAlignment="0" applyBorder="0" applyFont="0" applyFill="0" applyProtection="0"/>
    <xf numFmtId="43" fontId="13" fillId="0" borderId="0" applyAlignment="0" applyBorder="0" applyFont="0" applyFill="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9" fontId="13" fillId="0" borderId="0" applyAlignment="0" applyBorder="0" applyFont="0" applyFill="0" applyProtection="0"/>
    <xf numFmtId="0" fontId="1" fillId="0" borderId="0"/>
    <xf numFmtId="44" fontId="1" fillId="0" borderId="0" applyAlignment="0" applyBorder="0" applyFont="0" applyFill="0" applyProtection="0"/>
  </cellStyleXfs>
  <cellXfs>
    <xf numFmtId="0" fontId="0" fillId="0" borderId="0" xfId="0"/>
    <xf numFmtId="7" fontId="3" fillId="6" borderId="4" xfId="0" applyAlignment="1" applyBorder="1" applyFont="1" applyNumberFormat="1" applyFill="1">
      <alignment horizontal="center" vertical="center" wrapText="1"/>
    </xf>
    <xf numFmtId="44" fontId="5" fillId="6" borderId="5" xfId="0" applyAlignment="1" applyBorder="1" applyFont="1" applyNumberFormat="1" applyFill="1">
      <alignment horizontal="center" vertical="center" wrapText="1"/>
    </xf>
    <xf numFmtId="1" fontId="3" fillId="7" borderId="5" xfId="0" applyAlignment="1" applyBorder="1" applyFont="1" applyNumberFormat="1" applyFill="1" applyProtection="1">
      <alignment horizontal="center" vertical="center" wrapText="1"/>
      <protection locked="0"/>
    </xf>
    <xf numFmtId="0" fontId="3" fillId="6" borderId="5" xfId="0" applyAlignment="1" applyBorder="1" applyFont="1" applyFill="1">
      <alignment horizontal="center" vertical="center" wrapText="1"/>
    </xf>
    <xf numFmtId="0" fontId="3" fillId="0" borderId="0" xfId="0" applyFont="1"/>
    <xf numFmtId="0" fontId="3" fillId="0" borderId="0" xfId="0" applyAlignment="1" applyFont="1">
      <alignment horizontal="center" vertical="center"/>
    </xf>
    <xf numFmtId="8" fontId="7" fillId="0" borderId="0" xfId="0" applyAlignment="1" applyBorder="1" applyFont="1" applyNumberFormat="1">
      <alignment horizontal="center" vertical="center"/>
    </xf>
    <xf numFmtId="0" fontId="3" fillId="0" borderId="5" xfId="0" applyAlignment="1" applyBorder="1" applyFont="1" applyFill="1" applyProtection="1">
      <alignment horizontal="center" vertical="center" wrapText="1"/>
      <protection locked="0"/>
    </xf>
    <xf numFmtId="0" fontId="7" fillId="7" borderId="5" xfId="0" applyAlignment="1" applyBorder="1" applyFont="1" applyFill="1">
      <alignment horizontal="center" vertical="center" wrapText="1"/>
    </xf>
    <xf numFmtId="0" fontId="7" fillId="7" borderId="4" xfId="0" applyAlignment="1" applyBorder="1" applyFont="1" applyFill="1">
      <alignment horizontal="center" vertical="center" wrapText="1"/>
    </xf>
    <xf numFmtId="0" fontId="7" fillId="0" borderId="0" xfId="0" applyAlignment="1" applyFont="1">
      <alignment horizontal="center" vertical="center"/>
    </xf>
    <xf numFmtId="0" fontId="3" fillId="0" borderId="0" xfId="0" applyAlignment="1" applyBorder="1" applyFont="1" applyFill="1" applyProtection="1">
      <alignment horizontal="center" vertical="center" wrapText="1"/>
      <protection locked="0"/>
    </xf>
    <xf numFmtId="0" fontId="3" fillId="0" borderId="0" xfId="0" applyAlignment="1" applyFont="1" applyFill="1">
      <alignment horizontal="center" vertical="center"/>
    </xf>
    <xf numFmtId="0" fontId="0" fillId="0" borderId="0" xfId="0" applyAlignment="1">
      <alignment horizontal="left"/>
    </xf>
    <xf numFmtId="0" fontId="3" fillId="0" borderId="0" xfId="0" applyAlignment="1" applyBorder="1" applyFont="1" applyFill="1">
      <alignment horizontal="center" vertical="center"/>
    </xf>
    <xf numFmtId="0" fontId="7" fillId="0" borderId="0" xfId="0" applyAlignment="1" applyFont="1">
      <alignment horizontal="left" vertical="center" wrapText="1"/>
    </xf>
    <xf numFmtId="0" fontId="7" fillId="0" borderId="5" xfId="0" applyAlignment="1" applyBorder="1" applyFont="1">
      <alignment horizontal="center" vertical="center"/>
    </xf>
    <xf numFmtId="0" fontId="6" fillId="0" borderId="0" xfId="0" applyAlignment="1" applyBorder="1" applyFont="1" applyFill="1">
      <alignment horizontal="center" vertical="center" wrapText="1"/>
    </xf>
    <xf numFmtId="0" fontId="9" fillId="0" borderId="0" xfId="0" applyAlignment="1" applyFont="1" applyFill="1">
      <alignment horizontal="center" vertical="center"/>
    </xf>
    <xf numFmtId="0" fontId="3" fillId="8" borderId="0" xfId="0" applyAlignment="1" applyBorder="1" applyFont="1" applyFill="1">
      <alignment horizontal="center" vertical="center"/>
    </xf>
    <xf numFmtId="0" fontId="9" fillId="0" borderId="0" xfId="0" applyFont="1"/>
    <xf numFmtId="0" fontId="9" fillId="0" borderId="0" xfId="0" applyAlignment="1" applyBorder="1" applyFont="1" applyFill="1">
      <alignment horizontal="left" vertical="center" wrapText="1"/>
    </xf>
    <xf numFmtId="0" fontId="3" fillId="0" borderId="0" xfId="0" applyFont="1" quotePrefix="1"/>
    <xf numFmtId="44" fontId="8" fillId="9" borderId="6" xfId="0" applyAlignment="1" applyBorder="1" applyFont="1" applyNumberFormat="1" applyFill="1">
      <alignment horizontal="center" vertical="center"/>
    </xf>
    <xf numFmtId="0" fontId="5" fillId="9" borderId="7" xfId="0" applyAlignment="1" applyBorder="1" applyFont="1" applyFill="1">
      <alignment horizontal="left" vertical="center" wrapText="1"/>
    </xf>
    <xf numFmtId="0" fontId="8" fillId="0" borderId="0" xfId="0" applyAlignment="1" applyFont="1">
      <alignment horizontal="right" vertical="center"/>
    </xf>
    <xf numFmtId="8" fontId="11" fillId="0" borderId="0" xfId="0" applyAlignment="1" applyBorder="1" applyFont="1" applyNumberFormat="1" applyFill="1">
      <alignment horizontal="right" vertical="center"/>
    </xf>
    <xf numFmtId="0" fontId="11" fillId="0" borderId="0" xfId="0" applyAlignment="1" applyBorder="1" applyFont="1" applyFill="1">
      <alignment horizontal="right" vertical="center"/>
    </xf>
    <xf numFmtId="0" fontId="8" fillId="0" borderId="0" xfId="0" applyAlignment="1" applyFont="1">
      <alignment horizontal="right"/>
    </xf>
    <xf numFmtId="0" fontId="0" fillId="0" borderId="0" xfId="0" applyAlignment="1">
      <alignment horizontal="right"/>
    </xf>
    <xf numFmtId="0" fontId="8" fillId="0" borderId="5" xfId="0" applyAlignment="1" applyBorder="1" applyFont="1" applyFill="1">
      <alignment horizontal="left" vertical="center"/>
    </xf>
    <xf numFmtId="0" fontId="8" fillId="0" borderId="5" xfId="0" applyAlignment="1" applyBorder="1" applyFont="1" applyFill="1">
      <alignment horizontal="left" vertical="center" wrapText="1"/>
    </xf>
    <xf numFmtId="0" fontId="8" fillId="0" borderId="5" xfId="0" applyAlignment="1" applyBorder="1" applyFont="1" applyFill="1">
      <alignment horizontal="left"/>
    </xf>
    <xf numFmtId="44" fontId="8" fillId="0" borderId="5" xfId="0" applyAlignment="1" applyBorder="1" applyFont="1" applyNumberFormat="1" applyFill="1">
      <alignment horizontal="right" vertical="center" wrapText="1"/>
    </xf>
    <xf numFmtId="0" fontId="7" fillId="0" borderId="5" xfId="0" applyAlignment="1" applyBorder="1" applyFont="1" applyFill="1">
      <alignment horizontal="center" vertical="center" wrapText="1"/>
    </xf>
    <xf numFmtId="0" fontId="3" fillId="0" borderId="0" xfId="0" applyAlignment="1" applyBorder="1" applyFont="1" applyFill="1">
      <alignment horizontal="center" vertical="center" wrapText="1"/>
    </xf>
    <xf numFmtId="44" fontId="5" fillId="0" borderId="0" xfId="0" applyAlignment="1" applyBorder="1" applyFont="1" applyNumberFormat="1" applyFill="1">
      <alignment horizontal="center" vertical="center" wrapText="1"/>
    </xf>
    <xf numFmtId="44" fontId="5" fillId="6" borderId="8" xfId="0" applyAlignment="1" applyBorder="1" applyFont="1" applyNumberFormat="1" applyFill="1">
      <alignment horizontal="center" vertical="center" wrapText="1"/>
    </xf>
    <xf numFmtId="0" fontId="3" fillId="0" borderId="9" xfId="0" applyAlignment="1" applyBorder="1" applyFont="1">
      <alignment horizontal="left" vertical="center"/>
    </xf>
    <xf numFmtId="0" fontId="3" fillId="0" borderId="10" xfId="0" applyAlignment="1" applyBorder="1" applyFont="1">
      <alignment horizontal="left" vertical="center"/>
    </xf>
    <xf numFmtId="0" fontId="3" fillId="8" borderId="11" xfId="0" applyAlignment="1" applyBorder="1" applyFont="1" applyFill="1">
      <alignment horizontal="center" vertical="center"/>
    </xf>
    <xf numFmtId="0" fontId="3" fillId="8" borderId="12" xfId="0" applyAlignment="1" applyBorder="1" applyFont="1" applyFill="1">
      <alignment horizontal="center" vertical="center"/>
    </xf>
    <xf numFmtId="0" fontId="3" fillId="8" borderId="13" xfId="0" applyAlignment="1" applyBorder="1" applyFont="1" applyFill="1">
      <alignment horizontal="center" vertical="center"/>
    </xf>
    <xf numFmtId="0" fontId="3" fillId="0" borderId="14" xfId="0" applyAlignment="1" applyBorder="1" applyFont="1">
      <alignment horizontal="left" vertical="center"/>
    </xf>
    <xf numFmtId="0" fontId="3" fillId="0" borderId="15" xfId="0" applyAlignment="1" applyBorder="1" applyFont="1">
      <alignment horizontal="left" vertical="center"/>
    </xf>
    <xf numFmtId="0" fontId="3" fillId="8" borderId="16" xfId="0" applyAlignment="1" applyBorder="1" applyFont="1" applyFill="1">
      <alignment horizontal="center" vertical="center"/>
    </xf>
    <xf numFmtId="0" fontId="3" fillId="8" borderId="17" xfId="0" applyAlignment="1" applyBorder="1" applyFont="1" applyFill="1">
      <alignment horizontal="center" vertical="center"/>
    </xf>
    <xf numFmtId="0" fontId="3" fillId="0" borderId="15" xfId="0" applyAlignment="1" applyBorder="1" applyFont="1">
      <alignment horizontal="left" vertical="center" wrapText="1"/>
    </xf>
    <xf numFmtId="0" fontId="5" fillId="6" borderId="5" xfId="0" applyAlignment="1" applyBorder="1" applyFont="1" applyNumberFormat="1" applyFill="1">
      <alignment horizontal="center" vertical="center" wrapText="1"/>
    </xf>
    <xf numFmtId="44" fontId="7" fillId="10" borderId="5" xfId="0" applyAlignment="1" applyBorder="1" applyFont="1" applyNumberFormat="1" applyFill="1">
      <alignment horizontal="right" vertical="center"/>
    </xf>
    <xf numFmtId="44" fontId="0" fillId="0" borderId="0" xfId="0" applyAlignment="1" applyNumberFormat="1">
      <alignment horizontal="right"/>
    </xf>
    <xf numFmtId="0" fontId="12" fillId="0" borderId="5" xfId="0" applyAlignment="1" applyBorder="1" applyFont="1">
      <alignment horizontal="left"/>
    </xf>
    <xf numFmtId="44" fontId="0" fillId="0" borderId="5" xfId="0" applyAlignment="1" applyBorder="1" applyNumberFormat="1">
      <alignment horizontal="right"/>
    </xf>
    <xf numFmtId="164" fontId="0" fillId="0" borderId="5" xfId="0" applyAlignment="1" applyBorder="1" applyNumberFormat="1">
      <alignment horizontal="right"/>
    </xf>
    <xf numFmtId="165" fontId="0" fillId="0" borderId="5" xfId="0" applyAlignment="1" applyBorder="1" applyNumberFormat="1">
      <alignment horizontal="right"/>
    </xf>
    <xf numFmtId="166" fontId="0" fillId="0" borderId="0" xfId="0" applyAlignment="1" applyNumberFormat="1">
      <alignment horizontal="right"/>
    </xf>
    <xf numFmtId="0" fontId="14" fillId="0" borderId="0" xfId="1" applyFont="1"/>
    <xf numFmtId="0" fontId="13" fillId="11" borderId="0" xfId="1" applyFont="1" applyFill="1"/>
    <xf numFmtId="0" fontId="13" fillId="0" borderId="0" xfId="1" applyFont="1"/>
    <xf numFmtId="43" fontId="0" fillId="0" borderId="0" xfId="2" applyFont="1" applyNumberFormat="1"/>
    <xf numFmtId="0" fontId="16" fillId="12" borderId="0" xfId="1" applyFont="1" applyFill="1"/>
    <xf numFmtId="0" fontId="13" fillId="12" borderId="0" xfId="1" applyFont="1" applyFill="1"/>
    <xf numFmtId="0" fontId="17" fillId="11" borderId="0" xfId="1" applyFont="1" applyFill="1"/>
    <xf numFmtId="0" fontId="16" fillId="13" borderId="0" xfId="1" applyAlignment="1" applyFont="1" applyFill="1">
      <alignment wrapText="1"/>
    </xf>
    <xf numFmtId="0" fontId="13" fillId="0" borderId="0" xfId="1" applyAlignment="1" applyFont="1">
      <alignment wrapText="1"/>
    </xf>
    <xf numFmtId="167" fontId="13" fillId="0" borderId="0" xfId="3" applyFont="1" applyNumberFormat="1"/>
    <xf numFmtId="43" fontId="13" fillId="0" borderId="0" xfId="2" applyFont="1" applyNumberFormat="1"/>
    <xf numFmtId="4" fontId="13" fillId="0" borderId="0" xfId="1" applyAlignment="1" applyFont="1" applyNumberFormat="1">
      <alignment wrapText="1"/>
    </xf>
    <xf numFmtId="0" fontId="17" fillId="0" borderId="0" xfId="1" applyFont="1"/>
    <xf numFmtId="0" fontId="18" fillId="0" borderId="0" xfId="1" applyFont="1" applyFill="1"/>
    <xf numFmtId="9" fontId="13" fillId="0" borderId="0" xfId="3" applyFont="1" applyNumberFormat="1"/>
    <xf numFmtId="0" fontId="17" fillId="0" borderId="0" xfId="1" applyAlignment="1" applyFont="1">
      <alignment horizontal="center"/>
    </xf>
    <xf numFmtId="0" fontId="17" fillId="0" borderId="0" xfId="1" applyAlignment="1" applyFont="1">
      <alignment horizontal="right"/>
    </xf>
    <xf numFmtId="167" fontId="17" fillId="0" borderId="0" xfId="1" applyFont="1" applyNumberFormat="1"/>
    <xf numFmtId="0" fontId="17" fillId="14" borderId="0" xfId="1" applyFont="1" applyFill="1"/>
    <xf numFmtId="43" fontId="13" fillId="11" borderId="0" xfId="2" applyFont="1" applyNumberFormat="1" applyFill="1"/>
    <xf numFmtId="0" fontId="13" fillId="14" borderId="0" xfId="1" applyFont="1" applyFill="1"/>
    <xf numFmtId="43" fontId="17" fillId="11" borderId="0" xfId="2" applyFont="1" applyNumberFormat="1" applyFill="1"/>
    <xf numFmtId="43" fontId="13" fillId="0" borderId="0" xfId="1" applyFont="1" applyNumberFormat="1"/>
    <xf numFmtId="43" fontId="13" fillId="11" borderId="0" xfId="1" applyFont="1" applyNumberFormat="1" applyFill="1"/>
    <xf numFmtId="4" fontId="13" fillId="0" borderId="0" xfId="1" applyFont="1" applyNumberFormat="1"/>
    <xf numFmtId="9" fontId="13" fillId="0" borderId="0" xfId="1" applyFont="1" applyNumberFormat="1"/>
    <xf numFmtId="43" fontId="13" fillId="4" borderId="0" xfId="2" applyFont="1" applyNumberFormat="1" applyFill="1"/>
    <xf numFmtId="0" fontId="13" fillId="0" borderId="0" xfId="1" applyFont="1" applyFill="1"/>
    <xf numFmtId="43" fontId="19" fillId="15" borderId="0" xfId="2" applyFont="1" applyNumberFormat="1" applyFill="1"/>
    <xf numFmtId="43" fontId="18" fillId="15" borderId="0" xfId="1" applyFont="1" applyNumberFormat="1" applyFill="1"/>
    <xf numFmtId="43" fontId="20" fillId="0" borderId="0" xfId="1" applyFont="1" applyNumberFormat="1"/>
    <xf numFmtId="0" fontId="20" fillId="0" borderId="0" xfId="1" applyFont="1"/>
    <xf numFmtId="0" fontId="17" fillId="16" borderId="0" xfId="1" applyFont="1" applyFill="1"/>
    <xf numFmtId="0" fontId="17" fillId="0" borderId="0" xfId="1" applyFont="1" applyFill="1"/>
    <xf numFmtId="0" fontId="21" fillId="16" borderId="0" xfId="1" applyFont="1" applyFill="1"/>
    <xf numFmtId="0" fontId="21" fillId="0" borderId="0" xfId="1" applyFont="1"/>
    <xf numFmtId="0" fontId="21" fillId="0" borderId="0" xfId="1" applyFont="1" applyFill="1"/>
    <xf numFmtId="43" fontId="13" fillId="0" borderId="0" xfId="2" applyFont="1" applyNumberFormat="1" applyFill="1"/>
    <xf numFmtId="9" fontId="20" fillId="0" borderId="0" xfId="1" applyFont="1" applyNumberFormat="1"/>
    <xf numFmtId="0" fontId="22" fillId="0" borderId="0" xfId="1" applyAlignment="1" applyFont="1">
      <alignment horizontal="left" wrapText="1"/>
    </xf>
    <xf numFmtId="0" fontId="17" fillId="17" borderId="0" xfId="1" applyFont="1" applyFill="1"/>
    <xf numFmtId="0" fontId="13" fillId="17" borderId="0" xfId="1" applyFont="1" applyFill="1"/>
    <xf numFmtId="0" fontId="17" fillId="18" borderId="0" xfId="1" applyFont="1" applyFill="1"/>
    <xf numFmtId="0" fontId="13" fillId="18" borderId="0" xfId="1" applyFont="1" applyFill="1"/>
    <xf numFmtId="0" fontId="17" fillId="10" borderId="0" xfId="2" applyAlignment="1" applyBorder="1" applyFont="1" applyNumberFormat="1" applyFill="1">
      <alignment vertical="top"/>
    </xf>
    <xf numFmtId="43" fontId="13" fillId="15" borderId="0" xfId="2" applyFont="1" applyNumberFormat="1" applyFill="1"/>
    <xf numFmtId="0" fontId="23" fillId="0" borderId="0" xfId="1" applyFont="1"/>
    <xf numFmtId="0" fontId="17" fillId="0" borderId="0" xfId="2" applyAlignment="1" applyBorder="1" applyFont="1" applyNumberFormat="1" applyFill="1">
      <alignment vertical="top"/>
    </xf>
    <xf numFmtId="0" fontId="13" fillId="10" borderId="0" xfId="2" applyAlignment="1" applyBorder="1" applyFont="1" applyNumberFormat="1" applyFill="1">
      <alignment vertical="top"/>
    </xf>
    <xf numFmtId="0" fontId="13" fillId="0" borderId="0" xfId="1" applyAlignment="1" applyFont="1">
      <alignment vertical="top"/>
    </xf>
    <xf numFmtId="43" fontId="13" fillId="16" borderId="0" xfId="2" applyAlignment="1" applyBorder="1" applyFont="1" applyNumberFormat="1" applyFill="1">
      <alignment vertical="top"/>
    </xf>
    <xf numFmtId="0" fontId="13" fillId="0" borderId="0" xfId="1" applyAlignment="1" applyBorder="1" applyFont="1" applyNumberFormat="1" applyFill="1">
      <alignment vertical="top"/>
    </xf>
    <xf numFmtId="0" fontId="13" fillId="0" borderId="0" xfId="1" applyAlignment="1" applyBorder="1" applyFont="1" applyNumberFormat="1">
      <alignment vertical="top"/>
    </xf>
    <xf numFmtId="0" fontId="13" fillId="10" borderId="0" xfId="1" applyAlignment="1" applyBorder="1" applyFont="1" applyNumberFormat="1" applyFill="1">
      <alignment vertical="top"/>
    </xf>
    <xf numFmtId="0" fontId="13" fillId="0" borderId="0" xfId="1" applyAlignment="1" applyFont="1" applyNumberFormat="1" applyFill="1">
      <alignment vertical="top"/>
    </xf>
    <xf numFmtId="0" fontId="24" fillId="0" borderId="0" xfId="1" applyFont="1" applyFill="1"/>
    <xf numFmtId="0" fontId="13" fillId="0" borderId="18" xfId="1" applyAlignment="1" applyBorder="1" applyFont="1" applyNumberFormat="1" applyFill="1">
      <alignment vertical="top"/>
    </xf>
    <xf numFmtId="0" fontId="13" fillId="0" borderId="18" xfId="2" applyAlignment="1" applyBorder="1" applyFont="1" applyNumberFormat="1" applyFill="1">
      <alignment vertical="top"/>
    </xf>
    <xf numFmtId="0" fontId="13" fillId="0" borderId="0" xfId="1" applyAlignment="1" applyFont="1" applyNumberFormat="1">
      <alignment vertical="top"/>
    </xf>
    <xf numFmtId="0" fontId="17" fillId="16" borderId="0" xfId="2" applyAlignment="1" applyBorder="1" applyFont="1" applyNumberFormat="1" applyFill="1">
      <alignment vertical="top"/>
    </xf>
    <xf numFmtId="0" fontId="13" fillId="16" borderId="0" xfId="2" applyAlignment="1" applyBorder="1" applyFont="1" applyNumberFormat="1" applyFill="1">
      <alignment vertical="top"/>
    </xf>
    <xf numFmtId="49" fontId="13" fillId="16" borderId="0" xfId="1" applyAlignment="1" applyBorder="1" applyFont="1" applyNumberFormat="1" applyFill="1">
      <alignment vertical="top"/>
    </xf>
    <xf numFmtId="0" fontId="13" fillId="16" borderId="0" xfId="1" applyAlignment="1" applyBorder="1" applyFont="1" applyNumberFormat="1" applyFill="1">
      <alignment vertical="top"/>
    </xf>
    <xf numFmtId="49" fontId="13" fillId="10" borderId="0" xfId="1" applyAlignment="1" applyBorder="1" applyFont="1" applyNumberFormat="1" applyFill="1">
      <alignment vertical="top"/>
    </xf>
    <xf numFmtId="0" fontId="20" fillId="10" borderId="0" xfId="2" applyAlignment="1" applyBorder="1" applyFont="1" applyNumberFormat="1" applyFill="1">
      <alignment vertical="top"/>
    </xf>
    <xf numFmtId="0" fontId="17" fillId="14" borderId="0" xfId="2" applyAlignment="1" applyBorder="1" applyFont="1" applyNumberFormat="1" applyFill="1">
      <alignment vertical="top"/>
    </xf>
    <xf numFmtId="0" fontId="13" fillId="14" borderId="0" xfId="2" applyAlignment="1" applyBorder="1" applyFont="1" applyNumberFormat="1" applyFill="1">
      <alignment vertical="top"/>
    </xf>
    <xf numFmtId="0" fontId="13" fillId="14" borderId="0" xfId="2" applyAlignment="1" applyBorder="1" applyFont="1" applyNumberFormat="1" applyFill="1">
      <alignment horizontal="left" vertical="top"/>
    </xf>
    <xf numFmtId="0" fontId="13" fillId="10" borderId="0" xfId="2" applyAlignment="1" applyBorder="1" applyFont="1" applyNumberFormat="1" applyFill="1">
      <alignment horizontal="left" vertical="top"/>
    </xf>
    <xf numFmtId="0" fontId="13" fillId="14" borderId="0" xfId="1" applyAlignment="1" applyBorder="1" applyFont="1" applyNumberFormat="1" applyFill="1">
      <alignment vertical="top"/>
    </xf>
    <xf numFmtId="0" fontId="13" fillId="0" borderId="0" xfId="2" applyAlignment="1" applyBorder="1" applyFont="1" applyNumberFormat="1" applyFill="1">
      <alignment vertical="top"/>
    </xf>
    <xf numFmtId="0" fontId="17" fillId="19" borderId="0" xfId="1" applyAlignment="1" applyBorder="1" applyFont="1" applyNumberFormat="1" applyFill="1">
      <alignment vertical="top"/>
    </xf>
    <xf numFmtId="0" fontId="17" fillId="0" borderId="0" xfId="1" applyAlignment="1" applyBorder="1" applyFont="1" applyNumberFormat="1" applyFill="1">
      <alignment vertical="top"/>
    </xf>
    <xf numFmtId="0" fontId="13" fillId="19" borderId="0" xfId="1" applyAlignment="1" applyBorder="1" applyFont="1" applyNumberFormat="1" applyFill="1">
      <alignment vertical="top"/>
    </xf>
    <xf numFmtId="0" fontId="13" fillId="19" borderId="0" xfId="2" applyAlignment="1" applyBorder="1" applyFont="1" applyNumberFormat="1" applyFill="1">
      <alignment vertical="top"/>
    </xf>
    <xf numFmtId="0" fontId="25" fillId="19" borderId="0" xfId="1" applyAlignment="1" applyBorder="1" applyFont="1" applyNumberFormat="1" applyFill="1">
      <alignment vertical="top"/>
    </xf>
    <xf numFmtId="0" fontId="26" fillId="19" borderId="0" xfId="1" applyAlignment="1" applyBorder="1" applyFont="1" applyNumberFormat="1" applyFill="1">
      <alignment vertical="top"/>
    </xf>
    <xf numFmtId="0" fontId="21" fillId="19" borderId="0" xfId="1" applyAlignment="1" applyBorder="1" applyFont="1" applyNumberFormat="1" applyFill="1">
      <alignment vertical="top"/>
    </xf>
    <xf numFmtId="0" fontId="13" fillId="0" borderId="0" xfId="1" applyAlignment="1" applyBorder="1" applyFont="1" applyNumberFormat="1" applyFill="1" quotePrefix="1">
      <alignment horizontal="left" vertical="top"/>
    </xf>
    <xf numFmtId="0" fontId="17" fillId="20" borderId="0" xfId="2" applyAlignment="1" applyBorder="1" applyFont="1" applyNumberFormat="1" applyFill="1">
      <alignment vertical="top"/>
    </xf>
    <xf numFmtId="0" fontId="13" fillId="20" borderId="0" xfId="1" applyFont="1" applyFill="1"/>
    <xf numFmtId="49" fontId="21" fillId="20" borderId="0" xfId="1" applyAlignment="1" applyBorder="1" applyFont="1" applyNumberFormat="1" applyFill="1">
      <alignment vertical="top"/>
    </xf>
    <xf numFmtId="49" fontId="13" fillId="20" borderId="0" xfId="1" applyAlignment="1" applyBorder="1" applyFont="1" applyNumberFormat="1" applyFill="1">
      <alignment vertical="top"/>
    </xf>
    <xf numFmtId="49" fontId="13" fillId="20" borderId="0" xfId="1" applyAlignment="1" applyBorder="1" applyFont="1" applyNumberFormat="1" applyFill="1">
      <alignment vertical="top" wrapText="1"/>
    </xf>
    <xf numFmtId="0" fontId="13" fillId="0" borderId="0" xfId="1" applyAlignment="1" applyBorder="1" applyFont="1" applyNumberFormat="1" applyFill="1">
      <alignment vertical="top" wrapText="1"/>
    </xf>
    <xf numFmtId="49" fontId="21" fillId="20" borderId="0" xfId="1" applyAlignment="1" applyBorder="1" applyFont="1" applyNumberFormat="1" applyFill="1">
      <alignment vertical="top" wrapText="1"/>
    </xf>
    <xf numFmtId="49" fontId="25" fillId="20" borderId="0" xfId="1" applyAlignment="1" applyBorder="1" applyFont="1" applyNumberFormat="1" applyFill="1">
      <alignment vertical="top" wrapText="1"/>
    </xf>
    <xf numFmtId="49" fontId="13" fillId="0" borderId="0" xfId="1" applyAlignment="1" applyBorder="1" applyFont="1" applyNumberFormat="1" applyFill="1">
      <alignment vertical="top"/>
    </xf>
    <xf numFmtId="0" fontId="13" fillId="0" borderId="0" xfId="1" applyAlignment="1" applyBorder="1" applyFont="1" applyNumberFormat="1">
      <alignment vertical="top" wrapText="1"/>
    </xf>
    <xf numFmtId="49" fontId="17" fillId="11" borderId="0" xfId="1" applyAlignment="1" applyBorder="1" applyFont="1" applyNumberFormat="1" applyFill="1">
      <alignment vertical="top"/>
    </xf>
    <xf numFmtId="49" fontId="17" fillId="0" borderId="0" xfId="1" applyAlignment="1" applyBorder="1" applyFont="1" applyNumberFormat="1" applyFill="1">
      <alignment vertical="top"/>
    </xf>
    <xf numFmtId="49" fontId="13" fillId="11" borderId="0" xfId="1" applyAlignment="1" applyBorder="1" applyFont="1" applyNumberFormat="1" applyFill="1">
      <alignment vertical="top"/>
    </xf>
    <xf numFmtId="0" fontId="13" fillId="11" borderId="0" xfId="1" applyAlignment="1" applyBorder="1" applyFont="1" applyNumberFormat="1" applyFill="1">
      <alignment vertical="top"/>
    </xf>
    <xf numFmtId="0" fontId="13" fillId="11" borderId="0" xfId="1" applyAlignment="1" applyBorder="1" applyFont="1" applyFill="1">
      <alignment vertical="top"/>
    </xf>
    <xf numFmtId="49" fontId="17" fillId="21" borderId="0" xfId="1" applyAlignment="1" applyBorder="1" applyFont="1" applyNumberFormat="1" applyFill="1">
      <alignment vertical="top"/>
    </xf>
    <xf numFmtId="49" fontId="13" fillId="21" borderId="0" xfId="1" applyAlignment="1" applyBorder="1" applyFont="1" applyNumberFormat="1" applyFill="1">
      <alignment vertical="top"/>
    </xf>
    <xf numFmtId="0" fontId="17" fillId="9" borderId="0" xfId="1" applyFont="1" applyFill="1"/>
    <xf numFmtId="49" fontId="13" fillId="9" borderId="0" xfId="1" applyAlignment="1" applyBorder="1" applyFont="1" applyNumberFormat="1" applyFill="1">
      <alignment vertical="top"/>
    </xf>
    <xf numFmtId="0" fontId="13" fillId="0" borderId="0" xfId="1" applyAlignment="1" applyFont="1" applyFill="1">
      <alignment vertical="top"/>
    </xf>
    <xf numFmtId="0" fontId="13" fillId="9" borderId="0" xfId="1" applyAlignment="1" applyBorder="1" applyFont="1" applyFill="1">
      <alignment vertical="top"/>
    </xf>
    <xf numFmtId="0" fontId="17" fillId="22" borderId="0" xfId="1" applyFont="1" applyFill="1"/>
    <xf numFmtId="49" fontId="21" fillId="22" borderId="0" xfId="1" applyAlignment="1" applyBorder="1" applyFont="1" applyNumberFormat="1" applyFill="1">
      <alignment vertical="top"/>
    </xf>
    <xf numFmtId="0" fontId="17" fillId="23" borderId="0" xfId="1" applyAlignment="1" applyFont="1" applyFill="1">
      <alignment wrapText="1"/>
    </xf>
    <xf numFmtId="0" fontId="17" fillId="0" borderId="0" xfId="1" applyAlignment="1" applyFont="1" applyFill="1">
      <alignment wrapText="1"/>
    </xf>
    <xf numFmtId="0" fontId="13" fillId="23" borderId="0" xfId="1" applyFont="1" applyFill="1"/>
    <xf numFmtId="0" fontId="13" fillId="21" borderId="0" xfId="1" applyFont="1" applyFill="1"/>
    <xf numFmtId="43" fontId="13" fillId="4" borderId="0" xfId="1" applyFont="1" applyNumberFormat="1" applyFill="1"/>
    <xf numFmtId="43" fontId="13" fillId="4" borderId="0" xfId="1" applyAlignment="1" applyFont="1" applyNumberFormat="1" applyFill="1">
      <alignment horizontal="right"/>
    </xf>
    <xf numFmtId="0" fontId="21" fillId="23" borderId="0" xfId="1" applyFont="1" applyFill="1"/>
    <xf numFmtId="0" fontId="25" fillId="23" borderId="0" xfId="1" applyFont="1" applyFill="1"/>
    <xf numFmtId="0" fontId="17" fillId="24" borderId="0" xfId="1" applyBorder="1" applyFont="1" applyFill="1"/>
    <xf numFmtId="0" fontId="17" fillId="0" borderId="0" xfId="1" applyBorder="1" applyFont="1" applyFill="1"/>
    <xf numFmtId="168" fontId="21" fillId="13" borderId="0" xfId="1" applyBorder="1" applyFont="1" applyNumberFormat="1" applyFill="1"/>
    <xf numFmtId="168" fontId="21" fillId="25" borderId="0" xfId="1" applyBorder="1" applyFont="1" applyNumberFormat="1" applyFill="1"/>
    <xf numFmtId="43" fontId="13" fillId="0" borderId="13" xfId="2" applyBorder="1" applyFont="1" applyNumberFormat="1"/>
    <xf numFmtId="168" fontId="23" fillId="9" borderId="0" xfId="1" applyBorder="1" applyFont="1" applyNumberFormat="1" applyFill="1"/>
    <xf numFmtId="43" fontId="13" fillId="0" borderId="0" xfId="2" applyBorder="1" applyFont="1" applyNumberFormat="1"/>
    <xf numFmtId="168" fontId="21" fillId="9" borderId="0" xfId="1" applyBorder="1" applyFont="1" applyNumberFormat="1" applyFill="1"/>
    <xf numFmtId="0" fontId="17" fillId="26" borderId="0" xfId="1" applyFont="1" applyFill="1"/>
    <xf numFmtId="1" fontId="22" fillId="26" borderId="0" xfId="1" applyAlignment="1" applyBorder="1" applyFont="1" applyNumberFormat="1" applyFill="1">
      <alignment horizontal="left" vertical="top" wrapText="1"/>
    </xf>
    <xf numFmtId="43" fontId="0" fillId="0" borderId="0" xfId="2" applyBorder="1" applyFont="1" applyNumberFormat="1"/>
    <xf numFmtId="1" fontId="32" fillId="26" borderId="0" xfId="1" applyAlignment="1" applyBorder="1" applyFont="1" applyNumberFormat="1" applyFill="1">
      <alignment horizontal="left" vertical="top" wrapText="1"/>
    </xf>
    <xf numFmtId="0" fontId="36" fillId="7" borderId="19" xfId="0" applyAlignment="1" applyBorder="1" applyFont="1" applyFill="1">
      <alignment horizontal="left"/>
    </xf>
    <xf numFmtId="0" fontId="0" fillId="7" borderId="19" xfId="0" applyAlignment="1" applyBorder="1" applyFill="1">
      <alignment horizontal="left"/>
    </xf>
    <xf numFmtId="1" fontId="3" fillId="0" borderId="5" xfId="0" applyAlignment="1" applyBorder="1" applyFont="1" applyNumberFormat="1" applyFill="1" applyProtection="1">
      <alignment horizontal="center" vertical="center" wrapText="1"/>
      <protection hidden="1" locked="0"/>
    </xf>
    <xf numFmtId="0" fontId="3" fillId="0" borderId="0" xfId="0" applyAlignment="1" applyFont="1" applyProtection="1">
      <alignment horizontal="left" vertical="center"/>
      <protection locked="0"/>
    </xf>
    <xf numFmtId="0" fontId="3" fillId="0" borderId="0" xfId="0" applyAlignment="1" applyFont="1" applyProtection="1">
      <alignment horizontal="center" vertical="center"/>
      <protection locked="0"/>
    </xf>
    <xf numFmtId="8" fontId="7" fillId="0" borderId="0" xfId="0" applyAlignment="1" applyBorder="1" applyFont="1" applyNumberFormat="1" applyFill="1" applyProtection="1">
      <alignment horizontal="left" vertical="center"/>
      <protection locked="0"/>
    </xf>
    <xf numFmtId="8" fontId="7" fillId="0" borderId="0" xfId="0" applyAlignment="1" applyBorder="1" applyFont="1" applyNumberFormat="1" applyFill="1" applyProtection="1">
      <alignment horizontal="center" vertical="center"/>
      <protection locked="0"/>
    </xf>
    <xf numFmtId="0" fontId="6" fillId="0" borderId="0" xfId="0" applyAlignment="1" applyBorder="1" applyFont="1" applyFill="1" applyProtection="1">
      <alignment horizontal="center" vertical="center"/>
      <protection locked="0"/>
    </xf>
    <xf numFmtId="0" fontId="9" fillId="0" borderId="0" xfId="0" applyAlignment="1" applyBorder="1" applyFont="1" applyFill="1" applyProtection="1">
      <alignment horizontal="left" vertical="center" wrapText="1"/>
      <protection locked="0"/>
    </xf>
    <xf numFmtId="0" fontId="3" fillId="0" borderId="0" xfId="0" applyAlignment="1" applyBorder="1" applyFont="1" applyFill="1" applyProtection="1">
      <alignment horizontal="center" vertical="center"/>
      <protection locked="0"/>
    </xf>
    <xf numFmtId="0" fontId="37" fillId="0" borderId="0" xfId="0" applyFont="1"/>
    <xf numFmtId="0" fontId="0" fillId="0" borderId="0" xfId="0" applyAlignment="1" applyBorder="1">
      <alignment horizontal="left"/>
    </xf>
    <xf numFmtId="0" fontId="0" fillId="0" borderId="0" xfId="0" applyAlignment="1" applyBorder="1">
      <alignment horizontal="right"/>
    </xf>
    <xf numFmtId="0" fontId="8" fillId="0" borderId="0" xfId="0" applyAlignment="1" applyBorder="1" applyFont="1" applyFill="1">
      <alignment horizontal="left" vertical="center" wrapText="1"/>
    </xf>
    <xf numFmtId="0" fontId="8" fillId="0" borderId="0" xfId="0" applyAlignment="1" applyBorder="1" applyFont="1" applyFill="1">
      <alignment horizontal="left" vertical="center"/>
    </xf>
    <xf numFmtId="0" fontId="8" fillId="0" borderId="0" xfId="0" applyAlignment="1" applyBorder="1" applyFont="1" applyFill="1">
      <alignment horizontal="left"/>
    </xf>
    <xf numFmtId="44" fontId="8" fillId="0" borderId="0" xfId="0" applyAlignment="1" applyBorder="1" applyFont="1" applyNumberFormat="1" applyFill="1">
      <alignment horizontal="right" wrapText="1"/>
    </xf>
    <xf numFmtId="44" fontId="0" fillId="0" borderId="0" xfId="0" applyAlignment="1" applyBorder="1" applyNumberFormat="1">
      <alignment horizontal="right"/>
    </xf>
    <xf numFmtId="0" fontId="12" fillId="0" borderId="0" xfId="0" applyAlignment="1" applyBorder="1" applyFont="1">
      <alignment horizontal="left"/>
    </xf>
    <xf numFmtId="165" fontId="0" fillId="0" borderId="0" xfId="0" applyAlignment="1" applyBorder="1" applyNumberFormat="1">
      <alignment horizontal="right"/>
    </xf>
    <xf numFmtId="164" fontId="0" fillId="0" borderId="0" xfId="0" applyAlignment="1" applyBorder="1" applyNumberFormat="1">
      <alignment horizontal="right"/>
    </xf>
    <xf numFmtId="0" fontId="38" fillId="0" borderId="0" xfId="0" applyAlignment="1" applyFont="1">
      <alignment horizontal="left"/>
    </xf>
    <xf numFmtId="0" fontId="39" fillId="0" borderId="5" xfId="0" applyAlignment="1" applyBorder="1" applyFont="1" applyFill="1">
      <alignment horizontal="left" vertical="center" wrapText="1"/>
    </xf>
    <xf numFmtId="0" fontId="39" fillId="0" borderId="5" xfId="0" applyAlignment="1" applyBorder="1" applyFont="1" applyFill="1">
      <alignment horizontal="left" vertical="center"/>
    </xf>
    <xf numFmtId="0" fontId="39" fillId="0" borderId="5" xfId="0" applyAlignment="1" applyBorder="1" applyFont="1" applyFill="1">
      <alignment horizontal="left"/>
    </xf>
    <xf numFmtId="44" fontId="39" fillId="0" borderId="5" xfId="0" applyAlignment="1" applyBorder="1" applyFont="1" applyNumberFormat="1" applyFill="1">
      <alignment horizontal="right" vertical="center" wrapText="1"/>
    </xf>
    <xf numFmtId="44" fontId="39" fillId="0" borderId="5" xfId="0" applyAlignment="1" applyBorder="1" applyFont="1" applyNumberFormat="1" applyFill="1">
      <alignment horizontal="right" wrapText="1"/>
    </xf>
    <xf numFmtId="0" fontId="0" fillId="0" borderId="20" xfId="0" applyBorder="1"/>
    <xf numFmtId="0" fontId="0" fillId="0" borderId="11" xfId="0" applyBorder="1"/>
    <xf numFmtId="0" fontId="0" fillId="0" borderId="12" xfId="0" applyBorder="1"/>
    <xf numFmtId="0" fontId="15" fillId="0" borderId="21" xfId="0" applyBorder="1" applyFont="1"/>
    <xf numFmtId="0" fontId="0" fillId="0" borderId="0" xfId="0" applyBorder="1"/>
    <xf numFmtId="0" fontId="17" fillId="0" borderId="0" xfId="0" applyBorder="1" applyFont="1"/>
    <xf numFmtId="0" fontId="0" fillId="0" borderId="13" xfId="0" applyBorder="1"/>
    <xf numFmtId="0" fontId="0" fillId="0" borderId="21" xfId="0" applyBorder="1"/>
    <xf numFmtId="0" fontId="17" fillId="0" borderId="21" xfId="0" applyBorder="1" applyFont="1"/>
    <xf numFmtId="0" fontId="17" fillId="0" borderId="0" xfId="0" applyAlignment="1" applyBorder="1" applyFont="1">
      <alignment horizontal="right"/>
    </xf>
    <xf numFmtId="0" fontId="17" fillId="0" borderId="0" xfId="0" applyBorder="1" applyFont="1" applyNumberFormat="1"/>
    <xf numFmtId="0" fontId="17" fillId="0" borderId="0" xfId="0" applyFont="1"/>
    <xf numFmtId="0" fontId="17" fillId="16" borderId="0" xfId="0" applyBorder="1" applyFont="1" applyFill="1" applyProtection="1">
      <protection locked="0"/>
    </xf>
    <xf numFmtId="14" fontId="17" fillId="16" borderId="0" xfId="0" applyBorder="1" applyFont="1" applyNumberFormat="1" applyFill="1" applyProtection="1">
      <protection locked="0"/>
    </xf>
    <xf numFmtId="0" fontId="17" fillId="16" borderId="13" xfId="0" applyBorder="1" applyFont="1" applyFill="1" applyProtection="1">
      <protection locked="0"/>
    </xf>
    <xf numFmtId="0" fontId="17" fillId="0" borderId="13" xfId="0" applyBorder="1" applyFont="1"/>
    <xf numFmtId="0" fontId="0" fillId="0" borderId="0" xfId="0" applyBorder="1" applyFill="1"/>
    <xf numFmtId="0" fontId="0" fillId="0" borderId="22" xfId="0" applyBorder="1"/>
    <xf numFmtId="0" fontId="0" fillId="0" borderId="18" xfId="0" applyBorder="1"/>
    <xf numFmtId="0" fontId="0" fillId="0" borderId="23" xfId="0" applyBorder="1"/>
    <xf numFmtId="44" fontId="39" fillId="0" borderId="0" xfId="0" applyAlignment="1" applyBorder="1" applyFont="1" applyNumberFormat="1" applyFill="1">
      <alignment horizontal="right" vertical="center" wrapText="1"/>
    </xf>
    <xf numFmtId="0" fontId="39" fillId="0" borderId="0" xfId="0" applyAlignment="1" applyBorder="1" applyFont="1" applyFill="1">
      <alignment horizontal="left" vertical="center"/>
    </xf>
    <xf numFmtId="0" fontId="39" fillId="0" borderId="0" xfId="0" applyAlignment="1" applyBorder="1" applyFont="1" applyFill="1">
      <alignment horizontal="left"/>
    </xf>
    <xf numFmtId="44" fontId="39" fillId="0" borderId="0" xfId="0" applyAlignment="1" applyBorder="1" applyFont="1" applyNumberFormat="1" applyFill="1">
      <alignment horizontal="right" wrapText="1"/>
    </xf>
    <xf numFmtId="166" fontId="0" fillId="0" borderId="0" xfId="0" applyAlignment="1" applyBorder="1" applyNumberFormat="1">
      <alignment horizontal="right"/>
    </xf>
    <xf numFmtId="0" fontId="2" fillId="0" borderId="5" xfId="0" applyAlignment="1" applyBorder="1" applyFont="1" applyFill="1" applyProtection="1">
      <alignment horizontal="center" wrapText="1"/>
      <protection locked="0"/>
    </xf>
    <xf numFmtId="7" fontId="5" fillId="6" borderId="5" xfId="0" applyAlignment="1" applyBorder="1" applyFont="1" applyNumberFormat="1" applyFill="1">
      <alignment horizontal="center" vertical="center" wrapText="1"/>
    </xf>
    <xf numFmtId="0" fontId="0" fillId="0" borderId="5" xfId="0" applyAlignment="1" applyBorder="1">
      <alignment horizontal="left"/>
    </xf>
    <xf numFmtId="0" fontId="37" fillId="0" borderId="0" xfId="0" applyAlignment="1" applyFont="1">
      <alignment horizontal="left"/>
    </xf>
    <xf numFmtId="0" fontId="40" fillId="0" borderId="0" xfId="0" applyAlignment="1" applyFont="1">
      <alignment horizontal="left"/>
    </xf>
    <xf numFmtId="0" fontId="41" fillId="0" borderId="0" xfId="0" applyAlignment="1" applyFont="1">
      <alignment horizontal="right"/>
    </xf>
    <xf numFmtId="0" fontId="42" fillId="11" borderId="0" xfId="1" applyFont="1" applyFill="1"/>
    <xf numFmtId="44" fontId="3" fillId="0" borderId="0" xfId="0" applyAlignment="1" applyFont="1" applyNumberFormat="1">
      <alignment horizontal="center" vertical="center"/>
    </xf>
    <xf numFmtId="44" fontId="0" fillId="0" borderId="0" xfId="0" applyNumberFormat="1"/>
    <xf numFmtId="0" fontId="43" fillId="0" borderId="0" xfId="0" applyFont="1"/>
    <xf numFmtId="49" fontId="0" fillId="0" borderId="0" xfId="0" applyNumberFormat="1"/>
    <xf numFmtId="43" fontId="0" fillId="0" borderId="0" xfId="5" applyFont="1" applyNumberFormat="1"/>
    <xf numFmtId="49" fontId="37" fillId="0" borderId="0" xfId="0" applyFont="1" applyNumberFormat="1"/>
    <xf numFmtId="169" fontId="0" fillId="0" borderId="0" xfId="0" applyNumberFormat="1"/>
    <xf numFmtId="0" fontId="37" fillId="0" borderId="5" xfId="0" applyAlignment="1" applyBorder="1" applyFont="1">
      <alignment horizontal="right"/>
    </xf>
    <xf numFmtId="49" fontId="37" fillId="0" borderId="5" xfId="0" applyAlignment="1" applyBorder="1" applyFont="1" applyNumberFormat="1">
      <alignment horizontal="right"/>
    </xf>
    <xf numFmtId="43" fontId="37" fillId="0" borderId="5" xfId="5" applyAlignment="1" applyBorder="1" applyFont="1" applyNumberFormat="1">
      <alignment horizontal="right"/>
    </xf>
    <xf numFmtId="0" fontId="37" fillId="0" borderId="5" xfId="0" applyBorder="1" applyFont="1"/>
    <xf numFmtId="0" fontId="0" fillId="0" borderId="5" xfId="0" applyBorder="1"/>
    <xf numFmtId="169" fontId="0" fillId="0" borderId="5" xfId="0" applyBorder="1" applyNumberFormat="1"/>
    <xf numFmtId="43" fontId="0" fillId="0" borderId="5" xfId="5" applyBorder="1" applyFont="1" applyNumberFormat="1"/>
    <xf numFmtId="44" fontId="44" fillId="0" borderId="0" xfId="0" applyFont="1" applyNumberFormat="1"/>
    <xf numFmtId="0" fontId="44" fillId="0" borderId="0" xfId="0" applyAlignment="1" applyBorder="1" applyFont="1" applyFill="1">
      <alignment horizontal="left" vertical="center" wrapText="1"/>
    </xf>
    <xf numFmtId="44" fontId="8" fillId="0" borderId="5" xfId="0" applyAlignment="1" applyBorder="1" applyFont="1" applyNumberFormat="1" applyFill="1">
      <alignment horizontal="right" wrapText="1"/>
    </xf>
    <xf numFmtId="7" fontId="8" fillId="0" borderId="5" xfId="0" applyAlignment="1" applyBorder="1" applyFont="1" applyNumberFormat="1" applyFill="1">
      <alignment horizontal="right" wrapText="1"/>
    </xf>
    <xf numFmtId="44" fontId="0" fillId="0" borderId="0" xfId="0" applyAlignment="1" applyNumberFormat="1" applyFill="1">
      <alignment horizontal="right"/>
    </xf>
    <xf numFmtId="44" fontId="0" fillId="0" borderId="5" xfId="0" applyAlignment="1" applyBorder="1" applyNumberFormat="1" applyFill="1">
      <alignment horizontal="right"/>
    </xf>
    <xf numFmtId="165" fontId="0" fillId="0" borderId="5" xfId="0" applyAlignment="1" applyBorder="1" applyNumberFormat="1" applyFill="1">
      <alignment horizontal="right"/>
    </xf>
    <xf numFmtId="164" fontId="0" fillId="0" borderId="5" xfId="0" applyAlignment="1" applyBorder="1" applyNumberFormat="1" applyFill="1">
      <alignment horizontal="right"/>
    </xf>
    <xf numFmtId="0" fontId="0" fillId="0" borderId="0" xfId="0" applyAlignment="1" applyFill="1">
      <alignment horizontal="right"/>
    </xf>
    <xf numFmtId="7" fontId="3" fillId="0" borderId="0" xfId="0" applyAlignment="1" applyFont="1" applyNumberFormat="1">
      <alignment horizontal="center" vertical="center"/>
    </xf>
    <xf numFmtId="44" fontId="0" fillId="27" borderId="0" xfId="0" applyNumberFormat="1" applyFill="1"/>
    <xf numFmtId="14" fontId="0" fillId="0" borderId="0" xfId="0" applyNumberFormat="1"/>
    <xf numFmtId="44" fontId="46" fillId="0" borderId="0" xfId="0" applyAlignment="1" applyBorder="1" applyFont="1" applyNumberFormat="1" applyFill="1">
      <alignment horizontal="right" vertical="center" wrapText="1"/>
    </xf>
    <xf numFmtId="0" fontId="47" fillId="0" borderId="0" xfId="0" applyFont="1" applyFill="1"/>
    <xf numFmtId="0" fontId="48" fillId="0" borderId="5" xfId="0" applyAlignment="1" applyBorder="1" applyFont="1" applyFill="1">
      <alignment horizontal="right" wrapText="1"/>
    </xf>
    <xf numFmtId="0" fontId="48" fillId="0" borderId="5" xfId="0" applyAlignment="1" applyBorder="1" applyFont="1">
      <alignment wrapText="1"/>
    </xf>
    <xf numFmtId="169" fontId="44" fillId="0" borderId="5" xfId="0" applyBorder="1" applyFont="1" applyNumberFormat="1"/>
    <xf numFmtId="0" fontId="44" fillId="0" borderId="5" xfId="0" applyBorder="1" applyFont="1"/>
    <xf numFmtId="1" fontId="0" fillId="0" borderId="5" xfId="0" applyAlignment="1" applyBorder="1" applyNumberFormat="1" applyProtection="1">
      <alignment horizontal="left"/>
      <protection locked="0"/>
    </xf>
    <xf numFmtId="0" fontId="49" fillId="0" borderId="0" xfId="0" applyFont="1"/>
    <xf numFmtId="0" fontId="50" fillId="0" borderId="0" xfId="0" applyAlignment="1" applyFont="1">
      <alignment horizontal="center" vertical="center"/>
    </xf>
    <xf numFmtId="44" fontId="51" fillId="0" borderId="0" xfId="0" applyAlignment="1" applyBorder="1" applyFont="1" applyNumberFormat="1" applyFill="1">
      <alignment horizontal="center" vertical="center" wrapText="1"/>
    </xf>
    <xf numFmtId="0" fontId="50" fillId="0" borderId="0" xfId="0" applyFont="1"/>
    <xf numFmtId="8" fontId="3" fillId="0" borderId="0" xfId="0" applyAlignment="1" applyFont="1" applyNumberFormat="1">
      <alignment horizontal="center" vertical="center"/>
    </xf>
    <xf numFmtId="44" fontId="47" fillId="0" borderId="5" xfId="0" applyAlignment="1" applyBorder="1" applyFont="1" applyNumberFormat="1" applyFill="1">
      <alignment horizontal="right" vertical="center" wrapText="1"/>
    </xf>
    <xf numFmtId="0" fontId="3" fillId="7" borderId="7" xfId="0" applyAlignment="1" applyBorder="1" applyFont="1" applyFill="1" applyProtection="1">
      <alignment horizontal="center" vertical="center" wrapText="1"/>
      <protection locked="0"/>
    </xf>
    <xf numFmtId="0" fontId="3" fillId="7" borderId="5" xfId="0" applyAlignment="1" applyBorder="1" applyFont="1" applyFill="1" applyProtection="1">
      <alignment vertical="top" wrapText="1"/>
      <protection locked="0"/>
    </xf>
    <xf numFmtId="7" fontId="3" fillId="28" borderId="5" xfId="0" applyAlignment="1" applyBorder="1" applyFont="1" applyNumberFormat="1" applyFill="1" applyProtection="1">
      <alignment horizontal="center" vertical="center" wrapText="1"/>
      <protection locked="0"/>
    </xf>
    <xf numFmtId="0" fontId="5" fillId="0" borderId="0" xfId="0" applyFont="1"/>
    <xf numFmtId="7" fontId="39" fillId="0" borderId="5" xfId="0" applyAlignment="1" applyBorder="1" applyFont="1" applyNumberFormat="1" applyFill="1">
      <alignment horizontal="right" wrapText="1"/>
    </xf>
    <xf numFmtId="7" fontId="3" fillId="0" borderId="0" xfId="0" applyBorder="1" applyFont="1" applyNumberFormat="1" applyFill="1"/>
    <xf numFmtId="0" fontId="0" fillId="0" borderId="0" xfId="0" applyAlignment="1">
      <alignment wrapText="1"/>
    </xf>
    <xf numFmtId="0" fontId="47" fillId="0" borderId="5" xfId="0" applyAlignment="1" applyBorder="1" applyFont="1">
      <alignment horizontal="left"/>
    </xf>
    <xf numFmtId="0" fontId="0" fillId="0" borderId="0" xfId="0" applyAlignment="1" applyBorder="1" applyFill="1">
      <alignment horizontal="left"/>
    </xf>
    <xf numFmtId="0" fontId="3" fillId="0" borderId="0" xfId="0" applyAlignment="1" applyFont="1">
      <alignment horizontal="center" vertical="center" wrapText="1"/>
    </xf>
    <xf numFmtId="0" fontId="7" fillId="29" borderId="5" xfId="0" applyAlignment="1" applyBorder="1" applyFont="1" applyFill="1">
      <alignment horizontal="center" vertical="center" wrapText="1"/>
    </xf>
    <xf numFmtId="0" fontId="3" fillId="29" borderId="5" xfId="0" applyAlignment="1" applyBorder="1" applyFont="1" applyFill="1" applyProtection="1">
      <alignment horizontal="center" vertical="center"/>
      <protection locked="0"/>
    </xf>
    <xf numFmtId="0" fontId="3" fillId="29" borderId="0" xfId="0" applyFont="1" applyFill="1" quotePrefix="1"/>
    <xf numFmtId="7" fontId="3" fillId="6" borderId="24" xfId="0" applyAlignment="1" applyBorder="1" applyFont="1" applyNumberFormat="1" applyFill="1" applyProtection="1">
      <alignment horizontal="center" vertical="center" wrapText="1"/>
      <protection locked="0"/>
    </xf>
    <xf numFmtId="43" fontId="5" fillId="6" borderId="5" xfId="5" applyAlignment="1" applyBorder="1" applyFont="1" applyNumberFormat="1" applyFill="1">
      <alignment horizontal="right" vertical="center" wrapText="1"/>
    </xf>
    <xf numFmtId="0" fontId="0" fillId="30" borderId="25" xfId="0" applyBorder="1" applyFill="1"/>
    <xf numFmtId="0" fontId="0" fillId="30" borderId="24" xfId="0" applyBorder="1" applyFill="1"/>
    <xf numFmtId="0" fontId="62" fillId="0" borderId="0" xfId="0" applyAlignment="1" applyFont="1" applyFill="1">
      <alignment horizontal="center" vertical="center"/>
    </xf>
    <xf numFmtId="14" fontId="37" fillId="0" borderId="0" xfId="0" applyFont="1" applyNumberFormat="1"/>
    <xf numFmtId="0" fontId="44" fillId="0" borderId="0" xfId="0" applyFont="1"/>
    <xf numFmtId="44" fontId="0" fillId="31" borderId="0" xfId="0" applyNumberFormat="1" applyFill="1"/>
    <xf numFmtId="44" fontId="0" fillId="32" borderId="0" xfId="0" applyNumberFormat="1" applyFill="1"/>
    <xf numFmtId="7" fontId="0" fillId="32" borderId="0" xfId="0" applyNumberFormat="1" applyFill="1"/>
    <xf numFmtId="44" fontId="0" fillId="32" borderId="26" xfId="0" applyBorder="1" applyNumberFormat="1" applyFill="1"/>
    <xf numFmtId="0" fontId="3" fillId="0" borderId="4" xfId="0" applyAlignment="1" applyBorder="1" applyFont="1" applyProtection="1">
      <alignment horizontal="left" vertical="center" wrapText="1"/>
      <protection locked="0"/>
    </xf>
    <xf numFmtId="0" fontId="3" fillId="0" borderId="5" xfId="0" applyAlignment="1" applyBorder="1" applyFont="1" applyProtection="1">
      <alignment horizontal="center" vertical="center"/>
      <protection locked="0"/>
    </xf>
    <xf numFmtId="0" fontId="5" fillId="0" borderId="5" xfId="0" applyAlignment="1" applyBorder="1" applyFont="1" applyProtection="1">
      <alignment horizontal="center" vertical="center"/>
      <protection locked="0"/>
    </xf>
    <xf numFmtId="0" fontId="0" fillId="32" borderId="0" xfId="0" applyFill="1"/>
    <xf numFmtId="0" fontId="44" fillId="0" borderId="0" xfId="0" applyFont="1" applyFill="1"/>
    <xf numFmtId="43" fontId="0" fillId="0" borderId="0" xfId="0" applyNumberFormat="1"/>
    <xf numFmtId="43" fontId="0" fillId="0" borderId="0" xfId="0" applyAlignment="1" applyBorder="1" applyNumberFormat="1" applyProtection="1">
      <alignment vertical="top" wrapText="1"/>
      <protection locked="0"/>
    </xf>
    <xf numFmtId="8" fontId="3" fillId="28" borderId="24" xfId="0" applyAlignment="1" applyBorder="1" applyFont="1" applyNumberFormat="1" applyFill="1" applyProtection="1">
      <alignment horizontal="right" vertical="center"/>
      <protection locked="0"/>
    </xf>
    <xf numFmtId="0" fontId="0" fillId="0" borderId="0" xfId="0" applyFill="1"/>
    <xf numFmtId="0" fontId="45" fillId="0" borderId="27" xfId="0" applyAlignment="1" applyBorder="1" applyFont="1" applyFill="1" applyProtection="1">
      <alignment wrapText="1"/>
      <protection locked="0"/>
    </xf>
    <xf numFmtId="1" fontId="45" fillId="0" borderId="27" xfId="0" applyAlignment="1" applyBorder="1" applyFont="1" applyNumberFormat="1" applyFill="1" applyProtection="1">
      <alignment horizontal="center" wrapText="1"/>
      <protection locked="0"/>
    </xf>
    <xf numFmtId="0" fontId="45" fillId="30" borderId="28" xfId="0" applyAlignment="1" applyBorder="1" applyFont="1" applyFill="1" applyProtection="1">
      <alignment horizontal="center"/>
      <protection locked="0"/>
    </xf>
    <xf numFmtId="0" fontId="45" fillId="0" borderId="28" xfId="0" applyAlignment="1" applyBorder="1" applyFont="1" applyFill="1" applyProtection="1">
      <alignment horizontal="center"/>
      <protection locked="0"/>
    </xf>
    <xf numFmtId="0" fontId="45" fillId="33" borderId="28" xfId="0" applyAlignment="1" applyBorder="1" applyFont="1" applyFill="1" applyProtection="1">
      <alignment horizontal="center" wrapText="1"/>
      <protection locked="0"/>
    </xf>
    <xf numFmtId="0" fontId="3" fillId="0" borderId="24" xfId="0" applyAlignment="1" applyBorder="1" applyFont="1" applyFill="1" applyProtection="1">
      <alignment horizontal="center" vertical="center" wrapText="1"/>
      <protection locked="0"/>
    </xf>
    <xf numFmtId="0" fontId="45" fillId="0" borderId="29" xfId="0" applyAlignment="1" applyBorder="1" applyFont="1" applyFill="1" applyProtection="1">
      <alignment horizontal="center"/>
      <protection locked="0"/>
    </xf>
    <xf numFmtId="0" fontId="45" fillId="30" borderId="29" xfId="0" applyAlignment="1" applyBorder="1" applyFont="1" applyFill="1" applyProtection="1">
      <alignment horizontal="center"/>
      <protection locked="0"/>
    </xf>
    <xf numFmtId="0" fontId="3" fillId="7" borderId="24" xfId="0" applyAlignment="1" applyBorder="1" applyFont="1" applyFill="1" applyProtection="1">
      <alignment horizontal="center" vertical="center" wrapText="1"/>
      <protection locked="0"/>
    </xf>
    <xf numFmtId="0" fontId="67" fillId="30" borderId="5" xfId="0" applyAlignment="1" applyBorder="1" applyFont="1" applyFill="1" applyProtection="1">
      <alignment horizontal="center"/>
      <protection locked="0"/>
    </xf>
    <xf numFmtId="0" fontId="3" fillId="0" borderId="5" xfId="0" applyAlignment="1" applyBorder="1" applyFont="1" applyFill="1" applyProtection="1">
      <alignment horizontal="left" vertical="center" wrapText="1"/>
      <protection locked="0"/>
    </xf>
    <xf numFmtId="0" fontId="45" fillId="33" borderId="30" xfId="0" applyAlignment="1" applyBorder="1" applyFont="1" applyFill="1" applyProtection="1">
      <alignment horizontal="center"/>
      <protection locked="0"/>
    </xf>
    <xf numFmtId="0" fontId="45" fillId="33" borderId="31" xfId="0" applyAlignment="1" applyBorder="1" applyFont="1" applyFill="1" applyProtection="1">
      <alignment horizontal="center"/>
      <protection locked="0"/>
    </xf>
    <xf numFmtId="0" fontId="45" fillId="33" borderId="32" xfId="0" applyAlignment="1" applyBorder="1" applyFont="1" applyFill="1" applyProtection="1">
      <alignment horizontal="center"/>
      <protection locked="0"/>
    </xf>
    <xf numFmtId="7" fontId="3" fillId="6" borderId="5" xfId="0" applyAlignment="1" applyBorder="1" applyFont="1" applyNumberFormat="1" applyFill="1" applyProtection="1">
      <alignment horizontal="center" vertical="center" wrapText="1"/>
      <protection locked="0"/>
    </xf>
    <xf numFmtId="0" fontId="45" fillId="0" borderId="5" xfId="0" applyAlignment="1" applyBorder="1" applyFont="1" applyFill="1" applyProtection="1">
      <alignment wrapText="1"/>
      <protection locked="0"/>
    </xf>
    <xf numFmtId="1" fontId="3" fillId="0" borderId="5" xfId="0" applyAlignment="1" applyBorder="1" applyFont="1" applyNumberFormat="1" applyFill="1" applyProtection="1">
      <alignment horizontal="center" vertical="center" wrapText="1"/>
      <protection locked="0"/>
    </xf>
    <xf numFmtId="0" fontId="3" fillId="7" borderId="5" xfId="0" applyAlignment="1" applyBorder="1" applyFont="1" applyFill="1" applyProtection="1">
      <alignment horizontal="center" vertical="center" wrapText="1"/>
      <protection locked="0"/>
    </xf>
    <xf numFmtId="0" fontId="0" fillId="0" borderId="0" xfId="0" applyAlignment="1" applyBorder="1" applyProtection="1">
      <alignment vertical="top" wrapText="1"/>
      <protection locked="0"/>
    </xf>
    <xf numFmtId="0" fontId="70" fillId="7" borderId="5" xfId="0" applyAlignment="1" applyBorder="1" applyFont="1" applyFill="1" applyProtection="1">
      <alignment vertical="top"/>
      <protection locked="0"/>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20" fontId="0" fillId="0" borderId="4" xfId="0" applyBorder="1" applyNumberFormat="1" quotePrefix="1"/>
    <xf numFmtId="20" fontId="0" fillId="0" borderId="42" xfId="0" applyBorder="1" applyNumberFormat="1" quotePrefix="1"/>
    <xf numFmtId="173" fontId="0" fillId="0" borderId="5" xfId="5" applyBorder="1" applyFont="1" applyNumberFormat="1"/>
    <xf numFmtId="0" fontId="45" fillId="0" borderId="27" xfId="0" applyAlignment="1" applyBorder="1" applyFont="1" applyFill="1" applyProtection="1">
      <alignment horizontal="left" wrapText="1"/>
      <protection locked="0"/>
    </xf>
    <xf numFmtId="0" fontId="0" fillId="32" borderId="35" xfId="0" applyBorder="1" applyFill="1"/>
    <xf numFmtId="0" fontId="74" fillId="0" borderId="0" xfId="0" applyFont="1"/>
    <xf numFmtId="0" fontId="13" fillId="0" borderId="0" xfId="0" applyFont="1"/>
    <xf numFmtId="0" fontId="77" fillId="0" borderId="0" xfId="0" applyFont="1"/>
    <xf numFmtId="1" fontId="3" fillId="28" borderId="4" xfId="0" applyAlignment="1" applyBorder="1" applyFont="1" applyNumberFormat="1" applyFill="1" applyProtection="1">
      <alignment horizontal="center" vertical="center" wrapText="1"/>
      <protection locked="0"/>
    </xf>
    <xf numFmtId="0" fontId="78" fillId="0" borderId="0" xfId="0" applyFont="1"/>
    <xf numFmtId="0" fontId="0" fillId="0" borderId="0" xfId="0" applyProtection="1">
      <protection locked="0"/>
    </xf>
    <xf numFmtId="170" fontId="47" fillId="30" borderId="0" xfId="6" applyBorder="1" applyFont="1" applyNumberFormat="1" applyFill="1"/>
    <xf numFmtId="170" fontId="39" fillId="30" borderId="0" xfId="6" applyBorder="1" applyFont="1" applyNumberFormat="1" applyFill="1"/>
    <xf numFmtId="0" fontId="0" fillId="30" borderId="0" xfId="0" applyFill="1"/>
    <xf numFmtId="0" fontId="0" fillId="30" borderId="0" xfId="0" applyBorder="1" applyFill="1"/>
    <xf numFmtId="0" fontId="0" fillId="30" borderId="0" xfId="0" applyAlignment="1" applyBorder="1" applyFill="1">
      <alignment horizontal="left"/>
    </xf>
    <xf numFmtId="44" fontId="0" fillId="30" borderId="0" xfId="0" applyBorder="1" applyNumberFormat="1" applyFill="1"/>
    <xf numFmtId="0" fontId="0" fillId="30" borderId="0" xfId="0" applyAlignment="1" applyFill="1">
      <alignment horizontal="left"/>
    </xf>
    <xf numFmtId="0" fontId="74" fillId="30" borderId="0" xfId="0" applyBorder="1" applyFont="1" applyFill="1"/>
    <xf numFmtId="0" fontId="74" fillId="30" borderId="0" xfId="0" applyFont="1" applyFill="1"/>
    <xf numFmtId="0" fontId="17" fillId="30" borderId="0" xfId="0" applyAlignment="1" applyBorder="1" applyFont="1" applyFill="1">
      <alignment horizontal="center" vertical="center"/>
    </xf>
    <xf numFmtId="170" fontId="47" fillId="30" borderId="0" xfId="0" applyBorder="1" applyFont="1" applyNumberFormat="1" applyFill="1"/>
    <xf numFmtId="171" fontId="47" fillId="30" borderId="0" xfId="0" applyBorder="1" applyFont="1" applyNumberFormat="1" applyFill="1"/>
    <xf numFmtId="170" fontId="0" fillId="30" borderId="0" xfId="0" applyBorder="1" applyNumberFormat="1" applyFill="1"/>
    <xf numFmtId="171" fontId="0" fillId="30" borderId="0" xfId="0" applyBorder="1" applyNumberFormat="1" applyFill="1"/>
    <xf numFmtId="0" fontId="0" fillId="30" borderId="0" xfId="0" applyBorder="1" applyFill="1" applyProtection="1">
      <protection locked="0"/>
    </xf>
    <xf numFmtId="0" fontId="47" fillId="30" borderId="0" xfId="0" applyBorder="1" applyFont="1" applyFill="1"/>
    <xf numFmtId="0" fontId="68" fillId="30" borderId="0" xfId="0" applyAlignment="1" applyBorder="1" applyFont="1" applyFill="1">
      <alignment horizontal="center" vertical="center"/>
    </xf>
    <xf numFmtId="1" fontId="13" fillId="30" borderId="0" xfId="9" applyBorder="1" applyFont="1" applyNumberFormat="1" applyFill="1"/>
    <xf numFmtId="8" fontId="0" fillId="30" borderId="0" xfId="0" applyNumberFormat="1" applyFill="1"/>
    <xf numFmtId="0" fontId="68" fillId="30" borderId="0" xfId="0" applyAlignment="1" applyBorder="1" applyFont="1" applyFill="1">
      <alignment horizontal="center" vertical="center" wrapText="1"/>
    </xf>
    <xf numFmtId="170" fontId="49" fillId="30" borderId="0" xfId="0" applyBorder="1" applyFont="1" applyNumberFormat="1" applyFill="1"/>
    <xf numFmtId="170" fontId="49" fillId="30" borderId="0" xfId="6" applyBorder="1" applyFont="1" applyNumberFormat="1" applyFill="1"/>
    <xf numFmtId="171" fontId="49" fillId="30" borderId="0" xfId="0" applyBorder="1" applyFont="1" applyNumberFormat="1" applyFill="1"/>
    <xf numFmtId="0" fontId="0" fillId="30" borderId="0" xfId="0" applyFill="1" applyProtection="1">
      <protection locked="0"/>
    </xf>
    <xf numFmtId="0" fontId="74" fillId="30" borderId="0" xfId="0" applyFont="1" applyFill="1" applyProtection="1">
      <protection locked="0"/>
    </xf>
    <xf numFmtId="0" fontId="0" fillId="30" borderId="43" xfId="0" applyBorder="1" applyFill="1"/>
    <xf numFmtId="0" fontId="0" fillId="30" borderId="44" xfId="0" applyBorder="1" applyFill="1"/>
    <xf numFmtId="0" fontId="0" fillId="30" borderId="45" xfId="0" applyBorder="1" applyFill="1"/>
    <xf numFmtId="0" fontId="0" fillId="30" borderId="46" xfId="0" applyBorder="1" applyFill="1"/>
    <xf numFmtId="0" fontId="0" fillId="30" borderId="5" xfId="0" applyAlignment="1" applyBorder="1" applyFill="1">
      <alignment horizontal="right"/>
    </xf>
    <xf numFmtId="173" fontId="0" fillId="30" borderId="5" xfId="5" applyBorder="1" applyFont="1" applyNumberFormat="1" applyFill="1"/>
    <xf numFmtId="20" fontId="0" fillId="30" borderId="4" xfId="0" applyBorder="1" applyNumberFormat="1" applyFill="1" quotePrefix="1"/>
    <xf numFmtId="0" fontId="0" fillId="30" borderId="4" xfId="0" applyBorder="1" applyFill="1"/>
    <xf numFmtId="0" fontId="0" fillId="30" borderId="47" xfId="0" applyBorder="1" applyFill="1"/>
    <xf numFmtId="20" fontId="0" fillId="30" borderId="48" xfId="0" applyBorder="1" applyNumberFormat="1" applyFill="1" quotePrefix="1"/>
    <xf numFmtId="0" fontId="0" fillId="30" borderId="48" xfId="0" applyBorder="1" applyFill="1"/>
    <xf numFmtId="0" fontId="7" fillId="30" borderId="6" xfId="0" applyAlignment="1" applyBorder="1" applyFont="1" applyFill="1">
      <alignment horizontal="center" vertical="center" wrapText="1"/>
    </xf>
    <xf numFmtId="0" fontId="7" fillId="30" borderId="6" xfId="0" applyAlignment="1" applyBorder="1" applyFont="1" applyFill="1">
      <alignment horizontal="center" vertical="center"/>
    </xf>
    <xf numFmtId="8" fontId="6" fillId="30" borderId="5" xfId="0" applyAlignment="1" applyBorder="1" applyFont="1" applyNumberFormat="1" applyFill="1" applyProtection="1">
      <alignment horizontal="center" vertical="center"/>
      <protection locked="0"/>
    </xf>
    <xf numFmtId="0" fontId="0" fillId="30" borderId="0" xfId="0" applyBorder="1" applyFill="1" applyProtection="1"/>
    <xf numFmtId="0" fontId="0" fillId="0" borderId="0" xfId="0" applyProtection="1"/>
    <xf numFmtId="0" fontId="79" fillId="29" borderId="49" xfId="19" applyAlignment="1" applyBorder="1" applyFont="1" applyFill="1" applyProtection="1">
      <alignment horizontal="center" vertical="top" wrapText="1"/>
      <protection locked="0"/>
    </xf>
    <xf numFmtId="0" fontId="37" fillId="29" borderId="50" xfId="1" applyAlignment="1" applyBorder="1" applyFont="1" applyFill="1" applyProtection="1">
      <alignment horizontal="center" vertical="top" wrapText="1"/>
      <protection locked="0"/>
    </xf>
    <xf numFmtId="0" fontId="37" fillId="29" borderId="51" xfId="1" applyAlignment="1" applyBorder="1" applyFont="1" applyFill="1" applyProtection="1">
      <alignment horizontal="center" vertical="top" wrapText="1"/>
      <protection locked="0"/>
    </xf>
    <xf numFmtId="0" fontId="79" fillId="29" borderId="1" xfId="19" applyAlignment="1" applyBorder="1" applyFont="1" applyFill="1" applyProtection="1">
      <alignment horizontal="center" vertical="top" wrapText="1"/>
      <protection locked="0"/>
    </xf>
    <xf numFmtId="0" fontId="13" fillId="0" borderId="0" xfId="1" applyAlignment="1" applyBorder="1" applyFont="1" applyFill="1" applyProtection="1">
      <alignment vertical="top"/>
      <protection locked="0"/>
    </xf>
    <xf numFmtId="0" fontId="86" fillId="34" borderId="1" xfId="19" applyAlignment="1" applyBorder="1" applyFont="1" applyFill="1" applyProtection="1">
      <alignment horizontal="center" vertical="top" wrapText="1"/>
      <protection locked="0"/>
    </xf>
    <xf numFmtId="0" fontId="86" fillId="34" borderId="52" xfId="19" applyAlignment="1" applyBorder="1" applyFont="1" applyFill="1" applyProtection="1">
      <alignment horizontal="center" vertical="top" wrapText="1"/>
      <protection locked="0"/>
    </xf>
    <xf numFmtId="0" fontId="13" fillId="0" borderId="0" xfId="1" applyAlignment="1" applyFont="1" applyProtection="1">
      <alignment vertical="top"/>
      <protection locked="0"/>
    </xf>
    <xf numFmtId="0" fontId="47" fillId="35" borderId="49" xfId="19" applyAlignment="1" applyBorder="1" applyFont="1" applyFill="1" applyProtection="1">
      <alignment horizontal="left" vertical="top" wrapText="1"/>
      <protection locked="0"/>
    </xf>
    <xf numFmtId="43" fontId="13" fillId="34" borderId="0" xfId="1" applyAlignment="1" applyBorder="1" applyFont="1" applyNumberFormat="1" applyFill="1" applyProtection="1">
      <alignment vertical="top"/>
      <protection locked="0"/>
    </xf>
    <xf numFmtId="0" fontId="0" fillId="30" borderId="0" xfId="0" applyFill="1" applyProtection="1"/>
    <xf numFmtId="0" fontId="13" fillId="30" borderId="0" xfId="1" applyAlignment="1" applyBorder="1" applyFont="1" applyFill="1" applyProtection="1">
      <alignment vertical="top"/>
      <protection locked="0"/>
    </xf>
    <xf numFmtId="0" fontId="79" fillId="29" borderId="0" xfId="19" applyAlignment="1" applyBorder="1" applyFont="1" applyFill="1" applyProtection="1">
      <alignment horizontal="center" vertical="top" wrapText="1"/>
      <protection locked="0"/>
    </xf>
    <xf numFmtId="0" fontId="79" fillId="29" borderId="5" xfId="19" applyAlignment="1" applyBorder="1" applyFont="1" applyFill="1" applyProtection="1">
      <alignment horizontal="center" vertical="top" wrapText="1"/>
      <protection locked="0"/>
    </xf>
    <xf numFmtId="0" fontId="1" fillId="30" borderId="0" xfId="74" applyBorder="1" applyFont="1" applyFill="1" applyProtection="1">
      <protection locked="0"/>
    </xf>
    <xf numFmtId="43" fontId="1" fillId="30" borderId="0" xfId="74" applyBorder="1" applyFont="1" applyNumberFormat="1" applyFill="1" applyProtection="1">
      <protection locked="0"/>
    </xf>
    <xf numFmtId="0" fontId="88" fillId="29" borderId="49" xfId="19" applyAlignment="1" applyBorder="1" applyFont="1" applyFill="1" applyProtection="1">
      <alignment horizontal="left" vertical="top" wrapText="1"/>
      <protection locked="0"/>
    </xf>
    <xf numFmtId="0" fontId="37" fillId="29" borderId="5" xfId="1" applyAlignment="1" applyBorder="1" applyFont="1" applyFill="1" applyProtection="1">
      <alignment horizontal="center" vertical="top" wrapText="1"/>
      <protection locked="0"/>
    </xf>
    <xf numFmtId="0" fontId="79" fillId="29" borderId="5" xfId="19" applyAlignment="1" applyBorder="1" applyFont="1" applyFill="1" applyProtection="1">
      <alignment horizontal="left" vertical="top" wrapText="1"/>
      <protection locked="0"/>
    </xf>
    <xf numFmtId="0" fontId="13" fillId="30" borderId="0" xfId="1" applyAlignment="1" applyBorder="1" applyFont="1" applyFill="1" applyProtection="1">
      <alignment vertical="top" wrapText="1"/>
      <protection locked="0"/>
    </xf>
    <xf numFmtId="0" fontId="1" fillId="0" borderId="5" xfId="74" applyAlignment="1" applyBorder="1" applyFont="1" applyProtection="1">
      <alignment vertical="top"/>
      <protection locked="0"/>
    </xf>
    <xf numFmtId="0" fontId="1" fillId="30" borderId="0" xfId="74" applyAlignment="1" applyBorder="1" applyFont="1" applyFill="1" applyProtection="1">
      <alignment vertical="top"/>
      <protection locked="0"/>
    </xf>
    <xf numFmtId="0" fontId="0" fillId="0" borderId="5" xfId="0" applyAlignment="1" applyBorder="1" applyProtection="1">
      <alignment vertical="top"/>
      <protection locked="0"/>
    </xf>
    <xf numFmtId="0" fontId="1" fillId="30" borderId="0" xfId="74" applyAlignment="1" applyFont="1" applyFill="1" applyProtection="1">
      <alignment vertical="top"/>
      <protection locked="0"/>
    </xf>
    <xf numFmtId="0" fontId="0" fillId="30" borderId="0" xfId="0" applyAlignment="1" applyFill="1" applyProtection="1">
      <alignment vertical="top"/>
      <protection locked="0"/>
    </xf>
    <xf numFmtId="0" fontId="0" fillId="0" borderId="0" xfId="0" applyAlignment="1" applyProtection="1">
      <alignment vertical="top"/>
      <protection locked="0"/>
    </xf>
    <xf numFmtId="0" fontId="0" fillId="30" borderId="0" xfId="0" applyAlignment="1" applyBorder="1" applyFill="1" applyProtection="1">
      <alignment vertical="top"/>
      <protection locked="0"/>
    </xf>
    <xf numFmtId="0" fontId="86" fillId="30" borderId="0" xfId="19" applyAlignment="1" applyBorder="1" applyFont="1" applyFill="1" applyProtection="1">
      <alignment horizontal="center" vertical="top" wrapText="1"/>
      <protection locked="0"/>
    </xf>
    <xf numFmtId="0" fontId="86" fillId="30" borderId="0" xfId="19" applyAlignment="1" applyBorder="1" applyFont="1" applyFill="1" applyProtection="1">
      <alignment horizontal="center" vertical="top"/>
      <protection locked="0"/>
    </xf>
    <xf numFmtId="0" fontId="84" fillId="30" borderId="0" xfId="75" applyAlignment="1" applyBorder="1" applyFont="1" applyFill="1" applyProtection="1">
      <alignment vertical="top" wrapText="1"/>
      <protection locked="0"/>
    </xf>
    <xf numFmtId="0" fontId="3" fillId="36" borderId="7" xfId="0" applyAlignment="1" applyBorder="1" applyFont="1" applyFill="1" applyProtection="1">
      <alignment horizontal="center" vertical="center" wrapText="1"/>
    </xf>
    <xf numFmtId="0" fontId="2" fillId="36" borderId="0" xfId="0" applyAlignment="1" applyBorder="1" applyFont="1" applyFill="1" applyProtection="1">
      <alignment horizontal="center" vertical="center" wrapText="1"/>
    </xf>
    <xf numFmtId="0" fontId="3" fillId="36" borderId="5" xfId="0" applyAlignment="1" applyBorder="1" applyFont="1" applyFill="1" applyProtection="1">
      <alignment horizontal="center" vertical="center"/>
    </xf>
    <xf numFmtId="0" fontId="91" fillId="36" borderId="0" xfId="0" applyAlignment="1" applyBorder="1" applyFont="1" applyFill="1" applyProtection="1">
      <alignment horizontal="center" vertical="center" wrapText="1"/>
    </xf>
    <xf numFmtId="0" fontId="3" fillId="36" borderId="5" xfId="0" applyAlignment="1" applyBorder="1" applyFont="1" applyFill="1">
      <alignment horizontal="center" vertical="center"/>
    </xf>
    <xf numFmtId="0" fontId="3" fillId="36" borderId="5" xfId="0" applyAlignment="1" applyBorder="1" applyFont="1" applyFill="1" applyProtection="1">
      <alignment horizontal="center" vertical="center" wrapText="1"/>
      <protection locked="0"/>
    </xf>
    <xf numFmtId="0" fontId="3" fillId="36" borderId="5" xfId="0" applyAlignment="1" applyBorder="1" applyFont="1" applyFill="1" applyProtection="1">
      <alignment horizontal="center" vertical="center" wrapText="1"/>
    </xf>
    <xf numFmtId="0" fontId="7" fillId="7" borderId="5" xfId="0" applyAlignment="1" applyBorder="1" applyFont="1" applyFill="1" applyProtection="1">
      <alignment horizontal="center" vertical="center" wrapText="1"/>
      <protection locked="0"/>
    </xf>
    <xf numFmtId="8" fontId="7" fillId="0" borderId="0" xfId="0" applyAlignment="1" applyBorder="1" applyFont="1" applyNumberFormat="1" applyProtection="1">
      <alignment horizontal="center" vertical="center"/>
      <protection locked="0"/>
    </xf>
    <xf numFmtId="0" fontId="7" fillId="0" borderId="0" xfId="0" applyAlignment="1" applyFont="1" applyProtection="1">
      <alignment horizontal="center" vertical="center"/>
      <protection locked="0"/>
    </xf>
    <xf numFmtId="0" fontId="3" fillId="36" borderId="7" xfId="0" applyAlignment="1" applyBorder="1" applyFont="1" applyFill="1" applyProtection="1">
      <alignment horizontal="center" vertical="center" wrapText="1"/>
      <protection locked="0"/>
    </xf>
    <xf numFmtId="0" fontId="7" fillId="36" borderId="5" xfId="0" applyAlignment="1" applyBorder="1" applyFont="1" applyFill="1">
      <alignment horizontal="center" vertical="center" wrapText="1"/>
    </xf>
    <xf numFmtId="44" fontId="3" fillId="36" borderId="0" xfId="0" applyAlignment="1" applyFont="1" applyNumberFormat="1" applyFill="1" applyProtection="1">
      <alignment horizontal="center" vertical="center"/>
    </xf>
    <xf numFmtId="0" fontId="7" fillId="7" borderId="24" xfId="0" applyAlignment="1" applyBorder="1" applyFont="1" applyFill="1" applyProtection="1">
      <alignment horizontal="center" vertical="center" wrapText="1"/>
      <protection locked="0"/>
    </xf>
    <xf numFmtId="0" fontId="2" fillId="36" borderId="5" xfId="0" applyAlignment="1" applyBorder="1" applyFont="1" applyFill="1" applyProtection="1">
      <alignment horizontal="center" vertical="center" wrapText="1"/>
    </xf>
    <xf numFmtId="0" fontId="10" fillId="36" borderId="0" xfId="0" applyAlignment="1" applyBorder="1" applyFont="1" applyFill="1" applyProtection="1">
      <alignment horizontal="center" wrapText="1"/>
      <protection locked="0"/>
    </xf>
    <xf numFmtId="0" fontId="7" fillId="7" borderId="5" xfId="0" applyAlignment="1" applyBorder="1" applyFont="1" applyFill="1" applyProtection="1">
      <alignment horizontal="center" vertical="center" wrapText="1"/>
    </xf>
    <xf numFmtId="44" fontId="5" fillId="6" borderId="5"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protection locked="0"/>
    </xf>
    <xf numFmtId="0" fontId="3" fillId="8" borderId="0" xfId="0" applyAlignment="1" applyBorder="1" applyFont="1" applyFill="1" applyProtection="1">
      <alignment horizontal="center" vertical="center"/>
      <protection locked="0"/>
    </xf>
    <xf numFmtId="0" fontId="3" fillId="8" borderId="44" xfId="0" applyAlignment="1" applyBorder="1" applyFont="1" applyFill="1" applyProtection="1">
      <alignment horizontal="center" vertical="center"/>
      <protection locked="0"/>
    </xf>
    <xf numFmtId="0" fontId="3" fillId="8" borderId="5" xfId="0" applyAlignment="1" applyBorder="1" applyFont="1" applyFill="1" applyProtection="1">
      <alignment horizontal="center" vertical="center"/>
      <protection locked="0"/>
    </xf>
    <xf numFmtId="0" fontId="3" fillId="0" borderId="44" xfId="0" applyAlignment="1" applyBorder="1" applyFont="1" applyProtection="1">
      <alignment horizontal="center" vertical="center"/>
      <protection locked="0"/>
    </xf>
    <xf numFmtId="0" fontId="7" fillId="0" borderId="5" xfId="0" applyAlignment="1" applyBorder="1" applyFont="1" applyProtection="1">
      <alignment horizontal="center" vertical="center"/>
      <protection locked="0"/>
    </xf>
    <xf numFmtId="0" fontId="6" fillId="0" borderId="0" xfId="0" applyAlignment="1" applyBorder="1" applyFont="1" applyFill="1" applyProtection="1">
      <alignment horizontal="center" vertical="center" wrapText="1"/>
      <protection locked="0"/>
    </xf>
    <xf numFmtId="0" fontId="3" fillId="0" borderId="5" xfId="0" applyAlignment="1" applyBorder="1" applyFont="1" applyFill="1" applyProtection="1">
      <alignment horizontal="center" vertical="center"/>
      <protection locked="0"/>
    </xf>
    <xf numFmtId="44" fontId="5" fillId="6" borderId="5" xfId="0" applyAlignment="1" applyBorder="1" applyFont="1" applyNumberFormat="1" applyFill="1" applyProtection="1">
      <alignment horizontal="center" vertical="center" wrapText="1"/>
      <protection locked="0"/>
    </xf>
    <xf numFmtId="0" fontId="3" fillId="0" borderId="0" xfId="0" applyAlignment="1" applyFont="1" applyFill="1" applyProtection="1">
      <alignment horizontal="center" vertical="center"/>
      <protection locked="0"/>
    </xf>
    <xf numFmtId="0" fontId="7" fillId="36" borderId="5" xfId="0" applyAlignment="1" applyBorder="1" applyFont="1" applyFill="1" applyProtection="1">
      <alignment horizontal="center" vertical="center" wrapText="1"/>
    </xf>
    <xf numFmtId="0" fontId="2" fillId="36" borderId="6" xfId="0" applyAlignment="1" applyBorder="1" applyFont="1" applyFill="1" applyProtection="1">
      <alignment horizontal="center" vertical="center" wrapText="1"/>
    </xf>
    <xf numFmtId="0" fontId="7" fillId="0" borderId="5" xfId="0" applyAlignment="1" applyBorder="1" applyFont="1" applyFill="1" applyProtection="1">
      <alignment horizontal="center" vertical="center" wrapText="1"/>
      <protection locked="0"/>
    </xf>
    <xf numFmtId="0" fontId="3" fillId="36" borderId="0" xfId="0" applyAlignment="1" applyFont="1" applyFill="1">
      <alignment horizontal="center" vertical="center"/>
    </xf>
    <xf numFmtId="0" fontId="45" fillId="36" borderId="0" xfId="0" applyAlignment="1" applyBorder="1" applyFont="1" applyFill="1" applyProtection="1">
      <alignment horizontal="center" wrapText="1"/>
      <protection locked="0"/>
    </xf>
    <xf numFmtId="0" fontId="3" fillId="0" borderId="4" xfId="0" applyAlignment="1" applyBorder="1" applyFont="1" applyFill="1" applyProtection="1">
      <alignment horizontal="center" vertical="center" wrapText="1"/>
      <protection locked="0"/>
    </xf>
    <xf numFmtId="44" fontId="3" fillId="32" borderId="0" xfId="0" applyAlignment="1" applyFont="1" applyNumberFormat="1" applyFill="1" applyProtection="1">
      <alignment horizontal="center" vertical="center"/>
    </xf>
    <xf numFmtId="44" fontId="3" fillId="6" borderId="24" xfId="0" applyAlignment="1" applyBorder="1" applyFont="1" applyNumberFormat="1" applyFill="1" applyProtection="1">
      <alignment horizontal="center" vertical="center" wrapText="1"/>
      <protection locked="0"/>
    </xf>
    <xf numFmtId="0" fontId="3" fillId="8" borderId="43" xfId="0" applyAlignment="1" applyBorder="1" applyFont="1" applyFill="1" applyProtection="1">
      <alignment horizontal="center" vertical="center"/>
      <protection locked="0"/>
    </xf>
    <xf numFmtId="0" fontId="3" fillId="8" borderId="53" xfId="0" applyAlignment="1" applyBorder="1" applyFont="1" applyFill="1" applyProtection="1">
      <alignment horizontal="center" vertical="center"/>
      <protection locked="0"/>
    </xf>
    <xf numFmtId="0" fontId="3" fillId="8" borderId="54" xfId="0" applyAlignment="1" applyBorder="1" applyFont="1" applyFill="1" applyProtection="1">
      <alignment horizontal="center" vertical="center"/>
      <protection locked="0"/>
    </xf>
    <xf numFmtId="0" fontId="3" fillId="8" borderId="55" xfId="0" applyAlignment="1" applyBorder="1" applyFont="1" applyFill="1" applyProtection="1">
      <alignment horizontal="center" vertical="center"/>
      <protection locked="0"/>
    </xf>
    <xf numFmtId="8" fontId="3" fillId="6" borderId="24" xfId="0" applyAlignment="1" applyBorder="1" applyFont="1" applyNumberFormat="1" applyFill="1" applyProtection="1">
      <alignment horizontal="right" vertical="center"/>
      <protection locked="0"/>
    </xf>
    <xf numFmtId="0" fontId="9" fillId="0" borderId="0" xfId="0" applyAlignment="1" applyFont="1" applyFill="1" applyProtection="1">
      <alignment horizontal="center" vertical="center"/>
      <protection locked="0"/>
    </xf>
    <xf numFmtId="0" fontId="3" fillId="0" borderId="5" xfId="0" applyAlignment="1" applyBorder="1" applyFont="1" applyProtection="1">
      <alignment horizontal="center" vertical="center" wrapText="1"/>
      <protection locked="0"/>
    </xf>
    <xf numFmtId="0" fontId="3" fillId="0" borderId="43" xfId="0" applyAlignment="1" applyBorder="1" applyFont="1" applyProtection="1">
      <alignment horizontal="center" vertical="center"/>
      <protection locked="0"/>
    </xf>
    <xf numFmtId="0" fontId="7" fillId="0" borderId="0" xfId="0" applyAlignment="1" applyFont="1" applyProtection="1">
      <alignment horizontal="left" vertical="center" wrapText="1"/>
      <protection locked="0"/>
    </xf>
    <xf numFmtId="8" fontId="3" fillId="0" borderId="0" xfId="0" applyAlignment="1" applyFont="1" applyNumberFormat="1" applyProtection="1">
      <alignment horizontal="center" vertical="center"/>
      <protection locked="0"/>
    </xf>
    <xf numFmtId="0" fontId="3" fillId="6" borderId="5" xfId="0" applyAlignment="1" applyBorder="1" applyFont="1" applyFill="1" applyProtection="1">
      <alignment horizontal="center" vertical="center" wrapText="1"/>
      <protection locked="0"/>
    </xf>
    <xf numFmtId="43" fontId="3" fillId="0" borderId="0" xfId="5" applyAlignment="1" applyFont="1" applyNumberFormat="1" applyProtection="1">
      <alignment horizontal="center" vertical="center"/>
      <protection locked="0"/>
    </xf>
    <xf numFmtId="44" fontId="3" fillId="0" borderId="0" xfId="0" applyAlignment="1" applyFont="1" applyNumberFormat="1" applyProtection="1">
      <alignment horizontal="center" vertical="center"/>
      <protection locked="0"/>
    </xf>
    <xf numFmtId="0" fontId="7" fillId="7" borderId="4" xfId="0" applyAlignment="1" applyBorder="1" applyFont="1" applyFill="1" applyProtection="1">
      <alignment horizontal="center" vertical="center" wrapText="1"/>
      <protection locked="0"/>
    </xf>
    <xf numFmtId="44" fontId="5" fillId="36" borderId="56" xfId="0" applyAlignment="1" applyBorder="1" applyFont="1" applyNumberFormat="1" applyFill="1" applyProtection="1">
      <alignment horizontal="center" vertical="center" wrapText="1"/>
    </xf>
    <xf numFmtId="0" fontId="3" fillId="36" borderId="5" xfId="0" applyAlignment="1" applyBorder="1" applyFont="1" applyFill="1">
      <alignment horizontal="center" vertical="center" wrapText="1"/>
    </xf>
    <xf numFmtId="0" fontId="38" fillId="0" borderId="0" xfId="1" applyAlignment="1" applyFont="1" applyProtection="1">
      <alignment vertical="top"/>
      <protection locked="0"/>
    </xf>
    <xf numFmtId="0" fontId="79" fillId="29" borderId="0" xfId="19" applyAlignment="1" applyBorder="1" applyFont="1" applyFill="1" applyProtection="1">
      <alignment horizontal="center" vertical="top"/>
      <protection locked="0"/>
    </xf>
    <xf numFmtId="0" fontId="86" fillId="29" borderId="0" xfId="19" applyAlignment="1" applyBorder="1" applyFont="1" applyFill="1" applyProtection="1">
      <alignment horizontal="center" vertical="top"/>
      <protection locked="0"/>
    </xf>
    <xf numFmtId="0" fontId="37" fillId="29" borderId="57" xfId="1" applyAlignment="1" applyBorder="1" applyFont="1" applyFill="1" applyProtection="1">
      <alignment horizontal="center" vertical="top" wrapText="1"/>
      <protection locked="0"/>
    </xf>
    <xf numFmtId="0" fontId="3" fillId="0" borderId="0" xfId="0" applyAlignment="1" applyFont="1">
      <alignment horizontal="left" vertical="center"/>
    </xf>
    <xf numFmtId="7" fontId="5" fillId="0" borderId="5" xfId="0" applyAlignment="1" applyBorder="1" applyFont="1" applyNumberFormat="1">
      <alignment horizontal="center"/>
    </xf>
    <xf numFmtId="1" fontId="3" fillId="0" borderId="5" xfId="0" applyAlignment="1" applyBorder="1" applyFont="1" applyNumberFormat="1">
      <alignment horizontal="center"/>
    </xf>
    <xf numFmtId="0" fontId="3" fillId="0" borderId="5" xfId="0" applyBorder="1" applyFont="1"/>
    <xf numFmtId="1" fontId="3" fillId="7" borderId="4" xfId="0" applyAlignment="1" applyBorder="1" applyFont="1" applyNumberFormat="1" applyFill="1" applyProtection="1">
      <alignment horizontal="center" vertical="center" wrapText="1"/>
      <protection locked="0"/>
    </xf>
    <xf numFmtId="1" fontId="3" fillId="30" borderId="5" xfId="0" applyAlignment="1" applyBorder="1" applyFont="1" applyNumberFormat="1" applyFill="1" applyProtection="1">
      <alignment horizontal="center" vertical="center" wrapText="1"/>
      <protection locked="0"/>
    </xf>
    <xf numFmtId="1" fontId="3" fillId="30" borderId="4" xfId="0" applyAlignment="1" applyBorder="1" applyFont="1" applyNumberFormat="1" applyFill="1" applyProtection="1">
      <alignment horizontal="center" vertical="center" wrapText="1"/>
      <protection locked="0"/>
    </xf>
    <xf numFmtId="14" fontId="0" fillId="0" borderId="0" xfId="0" applyNumberFormat="1" applyProtection="1">
      <protection locked="0"/>
    </xf>
    <xf numFmtId="0" fontId="49" fillId="0" borderId="0" xfId="0" applyFont="1" applyProtection="1">
      <protection locked="0"/>
    </xf>
    <xf numFmtId="0" fontId="50" fillId="0" borderId="0" xfId="0" applyAlignment="1" applyFont="1" applyProtection="1">
      <alignment horizontal="center" vertical="center"/>
      <protection locked="0"/>
    </xf>
    <xf numFmtId="0" fontId="3" fillId="0" borderId="5" xfId="0" applyAlignment="1" applyBorder="1" applyFont="1" applyProtection="1">
      <alignment horizontal="left" vertical="center" wrapText="1"/>
      <protection locked="0"/>
    </xf>
    <xf numFmtId="8" fontId="3" fillId="6" borderId="5" xfId="0" applyAlignment="1" applyBorder="1" applyFont="1" applyNumberFormat="1" applyFill="1" applyProtection="1">
      <alignment horizontal="right" vertical="center"/>
      <protection locked="0"/>
    </xf>
    <xf numFmtId="44" fontId="5" fillId="0" borderId="0" xfId="0" applyAlignment="1" applyBorder="1" applyFont="1" applyNumberFormat="1" applyFill="1" applyProtection="1">
      <alignment horizontal="center" vertical="center" wrapText="1"/>
      <protection locked="0"/>
    </xf>
    <xf numFmtId="0" fontId="5" fillId="6" borderId="5" xfId="0" applyAlignment="1" applyBorder="1" applyFont="1" applyNumberFormat="1" applyFill="1" applyProtection="1">
      <alignment horizontal="center" vertical="center" wrapText="1"/>
      <protection locked="0"/>
    </xf>
    <xf numFmtId="44" fontId="51" fillId="0" borderId="0" xfId="0" applyAlignment="1" applyBorder="1" applyFont="1" applyNumberFormat="1" applyFill="1" applyProtection="1">
      <alignment horizontal="center" vertical="center" wrapText="1"/>
      <protection locked="0"/>
    </xf>
    <xf numFmtId="0" fontId="9" fillId="0" borderId="0" xfId="0" applyFont="1" applyProtection="1">
      <protection locked="0"/>
    </xf>
    <xf numFmtId="0" fontId="3" fillId="0" borderId="0" xfId="0" applyFont="1" applyProtection="1">
      <protection locked="0"/>
    </xf>
    <xf numFmtId="0" fontId="50" fillId="0" borderId="0" xfId="0" applyFont="1" applyProtection="1">
      <protection locked="0"/>
    </xf>
    <xf numFmtId="0" fontId="3" fillId="30" borderId="0" xfId="0" applyBorder="1" applyFont="1" applyFill="1" applyProtection="1">
      <protection locked="0"/>
    </xf>
    <xf numFmtId="0" fontId="7" fillId="30" borderId="5" xfId="0" applyAlignment="1" applyBorder="1" applyFont="1" applyFill="1" applyProtection="1">
      <alignment horizontal="center" vertical="center"/>
      <protection locked="0"/>
    </xf>
    <xf numFmtId="0" fontId="3" fillId="0" borderId="5" xfId="0" applyBorder="1" applyFont="1" applyProtection="1">
      <protection locked="0"/>
    </xf>
    <xf numFmtId="0" fontId="3" fillId="30" borderId="5" xfId="0" applyBorder="1" applyFont="1" applyFill="1" applyProtection="1">
      <protection locked="0"/>
    </xf>
    <xf numFmtId="0" fontId="3" fillId="0" borderId="0" xfId="0" applyFont="1" applyProtection="1" quotePrefix="1">
      <protection locked="0"/>
    </xf>
    <xf numFmtId="44" fontId="0" fillId="0" borderId="0" xfId="0" applyNumberFormat="1" applyProtection="1">
      <protection locked="0"/>
    </xf>
    <xf numFmtId="7" fontId="3" fillId="6" borderId="5" xfId="0" applyAlignment="1" applyBorder="1" applyFont="1" applyNumberFormat="1" applyFill="1" applyProtection="1">
      <alignment horizontal="right" vertical="center" wrapText="1"/>
    </xf>
    <xf numFmtId="44" fontId="3" fillId="6" borderId="5" xfId="0" applyAlignment="1" applyBorder="1" applyFont="1" applyNumberFormat="1" applyFill="1" applyProtection="1">
      <alignment vertical="center" wrapText="1"/>
      <protection locked="0"/>
    </xf>
    <xf numFmtId="0" fontId="3" fillId="0" borderId="0" xfId="0" applyAlignment="1" applyFont="1" applyFill="1" applyProtection="1">
      <alignment horizontal="center" vertical="center"/>
    </xf>
    <xf numFmtId="44" fontId="7" fillId="10" borderId="5" xfId="0" applyAlignment="1" applyBorder="1" applyFont="1" applyNumberFormat="1" applyFill="1" applyProtection="1">
      <alignment horizontal="right" vertical="center"/>
    </xf>
    <xf numFmtId="44" fontId="3" fillId="0" borderId="0" xfId="0" applyAlignment="1" applyBorder="1" applyFont="1" applyNumberFormat="1" applyFill="1" applyProtection="1">
      <alignment horizontal="center" vertical="center" wrapText="1"/>
    </xf>
    <xf numFmtId="0" fontId="3" fillId="6" borderId="5" xfId="0" applyAlignment="1" applyBorder="1" applyFont="1" applyFill="1" applyProtection="1">
      <alignment horizontal="center" vertical="center" wrapText="1"/>
    </xf>
    <xf numFmtId="44" fontId="5" fillId="6" borderId="7" xfId="0" applyAlignment="1" applyBorder="1" applyFont="1" applyNumberFormat="1" applyFill="1" applyProtection="1">
      <alignment horizontal="center" vertical="center" wrapText="1"/>
    </xf>
    <xf numFmtId="0" fontId="3" fillId="0" borderId="0" xfId="0" applyAlignment="1" applyFont="1" applyProtection="1">
      <alignment horizontal="center" vertical="center"/>
    </xf>
    <xf numFmtId="44" fontId="3" fillId="0" borderId="0" xfId="0" applyAlignment="1" applyFont="1" applyNumberFormat="1" applyProtection="1">
      <alignment horizontal="center" vertical="center"/>
    </xf>
    <xf numFmtId="0" fontId="3" fillId="0" borderId="9" xfId="0" applyAlignment="1" applyBorder="1" applyFont="1" applyProtection="1">
      <alignment horizontal="left" vertical="center"/>
    </xf>
    <xf numFmtId="0" fontId="3" fillId="8" borderId="11" xfId="0" applyAlignment="1" applyBorder="1" applyFont="1" applyFill="1" applyProtection="1">
      <alignment horizontal="center" vertical="center"/>
    </xf>
    <xf numFmtId="0" fontId="3" fillId="8" borderId="12" xfId="0" applyAlignment="1" applyBorder="1" applyFont="1" applyFill="1" applyProtection="1">
      <alignment horizontal="center" vertical="center"/>
    </xf>
    <xf numFmtId="44" fontId="3" fillId="6" borderId="58" xfId="0" applyAlignment="1" applyBorder="1" applyFont="1" applyNumberFormat="1" applyFill="1" applyProtection="1">
      <alignment horizontal="center" vertical="center" wrapText="1"/>
    </xf>
    <xf numFmtId="44" fontId="3" fillId="6" borderId="45" xfId="0" applyAlignment="1" applyBorder="1" applyFont="1" applyNumberFormat="1" applyFill="1" applyProtection="1">
      <alignment horizontal="center" vertical="center" wrapText="1"/>
    </xf>
    <xf numFmtId="44" fontId="5" fillId="6" borderId="56" xfId="0" applyAlignment="1" applyBorder="1" applyFont="1" applyNumberFormat="1" applyFill="1" applyProtection="1">
      <alignment horizontal="center" vertical="center" wrapText="1"/>
    </xf>
    <xf numFmtId="0" fontId="3" fillId="8" borderId="0" xfId="0" applyAlignment="1" applyBorder="1" applyFont="1" applyFill="1" applyProtection="1">
      <alignment horizontal="center" vertical="center"/>
    </xf>
    <xf numFmtId="0" fontId="3" fillId="8" borderId="13" xfId="0" applyAlignment="1" applyBorder="1" applyFont="1" applyFill="1" applyProtection="1">
      <alignment horizontal="center" vertical="center"/>
    </xf>
    <xf numFmtId="0" fontId="3" fillId="0" borderId="10" xfId="0" applyAlignment="1" applyBorder="1" applyFont="1" applyProtection="1">
      <alignment horizontal="left" vertical="center"/>
    </xf>
    <xf numFmtId="44" fontId="3" fillId="6" borderId="24"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xf>
    <xf numFmtId="0" fontId="3" fillId="0" borderId="14" xfId="0" applyAlignment="1" applyBorder="1" applyFont="1" applyProtection="1">
      <alignment horizontal="left" vertical="center"/>
    </xf>
    <xf numFmtId="44" fontId="3" fillId="6" borderId="59" xfId="0" applyAlignment="1" applyBorder="1" applyFont="1" applyNumberFormat="1" applyFill="1" applyProtection="1">
      <alignment horizontal="center" vertical="center" wrapText="1"/>
    </xf>
    <xf numFmtId="44" fontId="3" fillId="6" borderId="47"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xf>
    <xf numFmtId="0" fontId="3" fillId="8" borderId="16" xfId="0" applyAlignment="1" applyBorder="1" applyFont="1" applyFill="1" applyProtection="1">
      <alignment horizontal="center" vertical="center"/>
    </xf>
    <xf numFmtId="0" fontId="3" fillId="8" borderId="17" xfId="0" applyAlignment="1" applyBorder="1" applyFont="1" applyFill="1" applyProtection="1">
      <alignment horizontal="center" vertical="center"/>
    </xf>
    <xf numFmtId="44" fontId="3" fillId="6" borderId="60" xfId="0" applyAlignment="1" applyBorder="1" applyFont="1" applyNumberFormat="1" applyFill="1" applyProtection="1">
      <alignment horizontal="center" vertical="center" wrapText="1"/>
    </xf>
    <xf numFmtId="44" fontId="3" fillId="6" borderId="61"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wrapText="1"/>
    </xf>
    <xf numFmtId="7" fontId="3" fillId="6" borderId="4" xfId="0" applyAlignment="1" applyBorder="1" applyFont="1" applyNumberFormat="1" applyFill="1" applyProtection="1">
      <alignment horizontal="center" vertical="center" wrapText="1"/>
    </xf>
    <xf numFmtId="44" fontId="3" fillId="36" borderId="61" xfId="0" applyAlignment="1" applyBorder="1" applyFont="1" applyNumberFormat="1" applyFill="1" applyProtection="1">
      <alignment horizontal="center" vertical="center" wrapText="1"/>
    </xf>
    <xf numFmtId="44" fontId="5" fillId="36" borderId="5" xfId="0" applyAlignment="1" applyBorder="1" applyFont="1" applyNumberFormat="1" applyFill="1">
      <alignment horizontal="center" vertical="center" wrapText="1"/>
    </xf>
    <xf numFmtId="43" fontId="5" fillId="36" borderId="5" xfId="5" applyAlignment="1" applyBorder="1" applyFont="1" applyNumberFormat="1" applyFill="1">
      <alignment horizontal="right" vertical="center" wrapText="1"/>
    </xf>
    <xf numFmtId="0" fontId="7" fillId="36" borderId="0" xfId="0" applyAlignment="1" applyBorder="1" applyFont="1" applyFill="1">
      <alignment horizontal="center" vertical="center" wrapText="1"/>
    </xf>
    <xf numFmtId="0" fontId="7" fillId="36" borderId="5" xfId="0" applyAlignment="1" applyBorder="1" applyFont="1" applyFill="1" applyProtection="1">
      <alignment horizontal="center" vertical="center" wrapText="1"/>
      <protection locked="0"/>
    </xf>
    <xf numFmtId="44" fontId="5" fillId="6" borderId="24" xfId="0" applyAlignment="1" applyBorder="1" applyFont="1" applyNumberFormat="1" applyFill="1" applyProtection="1">
      <alignment horizontal="center" vertical="center" wrapText="1"/>
    </xf>
    <xf numFmtId="7" fontId="5" fillId="6" borderId="5" xfId="0" applyAlignment="1" applyBorder="1" applyFont="1" applyNumberFormat="1" applyFill="1" applyProtection="1">
      <alignment horizontal="center" vertical="center" wrapText="1"/>
    </xf>
    <xf numFmtId="0" fontId="3" fillId="0" borderId="0" xfId="0" applyFont="1" applyProtection="1"/>
    <xf numFmtId="7" fontId="5" fillId="0" borderId="5" xfId="0" applyAlignment="1" applyBorder="1" applyFont="1" applyNumberFormat="1" applyProtection="1">
      <alignment horizontal="center"/>
    </xf>
    <xf numFmtId="1" fontId="3" fillId="7" borderId="5" xfId="0" applyAlignment="1" applyBorder="1" applyFont="1" applyNumberFormat="1" applyFill="1" applyProtection="1">
      <alignment horizontal="center" vertical="center" wrapText="1"/>
    </xf>
    <xf numFmtId="1" fontId="3" fillId="0" borderId="5" xfId="0" applyAlignment="1" applyBorder="1" applyFont="1" applyNumberFormat="1" applyProtection="1">
      <alignment horizontal="center"/>
    </xf>
    <xf numFmtId="7" fontId="5" fillId="28" borderId="5" xfId="0" applyAlignment="1" applyBorder="1" applyFont="1" applyNumberFormat="1" applyFill="1" applyProtection="1">
      <alignment horizontal="center"/>
    </xf>
    <xf numFmtId="44" fontId="3" fillId="36" borderId="16" xfId="0" applyAlignment="1" applyBorder="1" applyFont="1" applyNumberFormat="1" applyFill="1" applyProtection="1">
      <alignment horizontal="center" vertical="center" wrapText="1"/>
    </xf>
    <xf numFmtId="0" fontId="7" fillId="7" borderId="4" xfId="0" applyAlignment="1" applyBorder="1" applyFont="1" applyFill="1" applyProtection="1">
      <alignment horizontal="center" vertical="center" wrapText="1"/>
    </xf>
    <xf numFmtId="0" fontId="3" fillId="0" borderId="0" xfId="0" applyAlignment="1" applyBorder="1" applyFont="1" applyProtection="1">
      <alignment horizontal="left" vertical="center"/>
    </xf>
    <xf numFmtId="44" fontId="3" fillId="6" borderId="0" xfId="0" applyAlignment="1" applyBorder="1" applyFont="1" applyNumberFormat="1" applyFill="1" applyProtection="1">
      <alignment horizontal="center" vertical="center" wrapText="1"/>
    </xf>
    <xf numFmtId="44" fontId="5" fillId="36" borderId="0" xfId="0" applyAlignment="1" applyBorder="1" applyFont="1" applyNumberFormat="1" applyFill="1" applyProtection="1">
      <alignment horizontal="center" vertical="center" wrapText="1"/>
    </xf>
    <xf numFmtId="44" fontId="5" fillId="6" borderId="0" xfId="0" applyAlignment="1" applyBorder="1" applyFont="1" applyNumberFormat="1" applyFill="1" applyProtection="1">
      <alignment horizontal="center" vertical="center" wrapText="1"/>
    </xf>
    <xf numFmtId="0" fontId="3" fillId="6" borderId="0" xfId="0" applyAlignment="1" applyBorder="1" applyFont="1" applyFill="1" applyProtection="1">
      <alignment horizontal="center" vertical="center" wrapText="1"/>
      <protection locked="0"/>
    </xf>
    <xf numFmtId="44" fontId="5" fillId="6" borderId="0" xfId="0" applyAlignment="1" applyBorder="1" applyFont="1" applyNumberFormat="1" applyFill="1" applyProtection="1">
      <alignment horizontal="center" vertical="center" wrapText="1"/>
      <protection locked="0"/>
    </xf>
    <xf numFmtId="0" fontId="3" fillId="0" borderId="0" xfId="0" applyAlignment="1" applyBorder="1" applyFont="1">
      <alignment horizontal="left" vertical="center"/>
    </xf>
    <xf numFmtId="0" fontId="3" fillId="6" borderId="0" xfId="0" applyAlignment="1" applyBorder="1" applyFont="1" applyFill="1">
      <alignment horizontal="center" vertical="center" wrapText="1"/>
    </xf>
    <xf numFmtId="44" fontId="5" fillId="6" borderId="0" xfId="0" applyAlignment="1" applyBorder="1" applyFont="1" applyNumberFormat="1" applyFill="1">
      <alignment horizontal="center" vertical="center" wrapText="1"/>
    </xf>
    <xf numFmtId="0" fontId="86" fillId="34" borderId="49" xfId="19" applyAlignment="1" applyBorder="1" applyFont="1" applyFill="1" applyProtection="1">
      <alignment horizontal="center" vertical="top" wrapText="1"/>
      <protection locked="0"/>
    </xf>
    <xf numFmtId="44" fontId="5" fillId="36" borderId="5" xfId="0" applyAlignment="1" applyBorder="1" applyFont="1" applyNumberFormat="1" applyFill="1" applyProtection="1">
      <alignment horizontal="center" vertical="center" wrapText="1"/>
    </xf>
    <xf numFmtId="43" fontId="5" fillId="6" borderId="5" xfId="5" applyAlignment="1" applyBorder="1" applyFont="1" applyNumberFormat="1" applyFill="1" applyProtection="1">
      <alignment horizontal="right" vertical="center" wrapText="1"/>
    </xf>
    <xf numFmtId="43" fontId="5" fillId="36" borderId="5" xfId="5" applyAlignment="1" applyBorder="1" applyFont="1" applyNumberFormat="1" applyFill="1" applyProtection="1">
      <alignment horizontal="right" vertical="center" wrapText="1"/>
    </xf>
    <xf numFmtId="1" fontId="3" fillId="28" borderId="5" xfId="0" applyAlignment="1" applyBorder="1" applyFont="1" applyNumberFormat="1" applyFill="1" applyProtection="1">
      <alignment horizontal="center" vertical="center" wrapText="1"/>
    </xf>
    <xf numFmtId="1" fontId="3" fillId="28" borderId="5" xfId="0" applyBorder="1" applyFont="1" applyNumberFormat="1" applyFill="1" applyProtection="1"/>
    <xf numFmtId="0" fontId="7" fillId="29" borderId="5" xfId="0" applyAlignment="1" applyBorder="1" applyFont="1" applyFill="1" applyProtection="1">
      <alignment horizontal="center" vertical="center" wrapText="1"/>
      <protection locked="0"/>
    </xf>
    <xf numFmtId="0" fontId="3" fillId="0" borderId="43" xfId="0" applyAlignment="1" applyBorder="1" applyFont="1" applyProtection="1">
      <alignment horizontal="center" vertical="center" wrapText="1"/>
      <protection locked="0"/>
    </xf>
    <xf numFmtId="0" fontId="86" fillId="34" borderId="62" xfId="19" applyAlignment="1" applyBorder="1" applyFont="1" applyFill="1" applyProtection="1">
      <alignment vertical="top" wrapText="1"/>
      <protection locked="0"/>
    </xf>
    <xf numFmtId="0" fontId="86" fillId="34" borderId="1" xfId="19" applyAlignment="1" applyBorder="1" applyFont="1" applyFill="1" applyProtection="1">
      <alignment vertical="top" wrapText="1"/>
      <protection locked="0"/>
    </xf>
    <xf numFmtId="0" fontId="86" fillId="34" borderId="63" xfId="19" applyAlignment="1" applyBorder="1" applyFont="1" applyFill="1" applyProtection="1">
      <alignment vertical="top" wrapText="1"/>
      <protection locked="0"/>
    </xf>
    <xf numFmtId="0" fontId="13" fillId="32" borderId="64" xfId="1" applyAlignment="1" applyBorder="1" applyFont="1" applyFill="1" applyProtection="1">
      <alignment vertical="top" wrapText="1"/>
      <protection locked="0"/>
    </xf>
    <xf numFmtId="0" fontId="13" fillId="34" borderId="51" xfId="1" applyAlignment="1" applyBorder="1" applyFont="1" applyFill="1" applyProtection="1">
      <alignment vertical="top" wrapText="1"/>
      <protection locked="0"/>
    </xf>
    <xf numFmtId="0" fontId="1" fillId="30" borderId="0" xfId="74" applyAlignment="1" applyFont="1" applyFill="1" applyProtection="1">
      <alignment vertical="top" wrapText="1"/>
      <protection locked="0"/>
    </xf>
    <xf numFmtId="0" fontId="38" fillId="30" borderId="0" xfId="1" applyAlignment="1" applyFont="1" applyFill="1" applyProtection="1">
      <alignment vertical="top" wrapText="1"/>
      <protection locked="0"/>
    </xf>
    <xf numFmtId="0" fontId="79" fillId="29" borderId="1" xfId="19" applyAlignment="1" applyBorder="1" applyFont="1" applyFill="1" applyProtection="1">
      <alignment vertical="top" wrapText="1"/>
      <protection locked="0"/>
    </xf>
    <xf numFmtId="0" fontId="86" fillId="35" borderId="1" xfId="19" applyAlignment="1" applyBorder="1" applyFont="1" applyFill="1" applyProtection="1">
      <alignment vertical="top" wrapText="1"/>
      <protection locked="0"/>
    </xf>
    <xf numFmtId="0" fontId="86" fillId="35" borderId="52" xfId="19" applyAlignment="1" applyBorder="1" applyFont="1" applyFill="1" applyProtection="1">
      <alignment vertical="top" wrapText="1"/>
      <protection locked="0"/>
    </xf>
    <xf numFmtId="0" fontId="13" fillId="34" borderId="65" xfId="1" applyAlignment="1" applyBorder="1" applyFont="1" applyFill="1" applyProtection="1">
      <alignment vertical="top" wrapText="1"/>
      <protection locked="0"/>
    </xf>
    <xf numFmtId="0" fontId="86" fillId="0" borderId="0" xfId="19" applyAlignment="1" applyBorder="1" applyFont="1" applyFill="1" applyProtection="1">
      <alignment vertical="top" wrapText="1"/>
      <protection locked="0"/>
    </xf>
    <xf numFmtId="0" fontId="86" fillId="0" borderId="43" xfId="19" applyAlignment="1" applyBorder="1" applyFont="1" applyFill="1" applyProtection="1">
      <alignment vertical="top" wrapText="1"/>
      <protection locked="0"/>
    </xf>
    <xf numFmtId="0" fontId="13" fillId="0" borderId="0" xfId="1" applyAlignment="1" applyFont="1" applyFill="1" applyProtection="1">
      <alignment vertical="top" wrapText="1"/>
      <protection locked="0"/>
    </xf>
    <xf numFmtId="0" fontId="13" fillId="0" borderId="0" xfId="1" applyAlignment="1" applyBorder="1" applyFont="1" applyFill="1" applyProtection="1">
      <alignment vertical="top" wrapText="1"/>
      <protection locked="0"/>
    </xf>
    <xf numFmtId="0" fontId="38" fillId="0" borderId="0" xfId="1" applyAlignment="1" applyFont="1" applyProtection="1">
      <alignment vertical="top" wrapText="1"/>
      <protection locked="0"/>
    </xf>
    <xf numFmtId="0" fontId="86" fillId="34" borderId="49" xfId="19" applyAlignment="1" applyBorder="1" applyFont="1" applyFill="1" applyProtection="1">
      <alignment vertical="top" wrapText="1"/>
      <protection locked="0"/>
    </xf>
    <xf numFmtId="0" fontId="86" fillId="35" borderId="5" xfId="19" applyAlignment="1" applyBorder="1" applyFont="1" applyFill="1" applyProtection="1">
      <alignment vertical="top" wrapText="1"/>
      <protection locked="0"/>
    </xf>
    <xf numFmtId="0" fontId="86" fillId="30" borderId="0" xfId="19" applyAlignment="1" applyBorder="1" applyFont="1" applyFill="1" applyProtection="1">
      <alignment vertical="top" wrapText="1"/>
      <protection locked="0"/>
    </xf>
    <xf numFmtId="0" fontId="13" fillId="30" borderId="0" xfId="1" applyAlignment="1" applyBorder="1" applyFont="1" applyFill="1" applyProtection="1">
      <alignment horizontal="center" vertical="top" wrapText="1"/>
      <protection locked="0"/>
    </xf>
    <xf numFmtId="0" fontId="87" fillId="30" borderId="0" xfId="19" applyAlignment="1" applyBorder="1" applyFont="1" applyFill="1" applyProtection="1">
      <alignment vertical="top" wrapText="1"/>
      <protection locked="0"/>
    </xf>
    <xf numFmtId="0" fontId="1" fillId="29" borderId="5" xfId="74" applyAlignment="1" applyBorder="1" applyFont="1" applyFill="1" applyProtection="1">
      <alignment vertical="top" wrapText="1"/>
      <protection locked="0"/>
    </xf>
    <xf numFmtId="0" fontId="79" fillId="29" borderId="66" xfId="19" applyAlignment="1" applyBorder="1" applyFont="1" applyFill="1" applyProtection="1">
      <alignment horizontal="center" vertical="top" wrapText="1"/>
      <protection locked="0"/>
    </xf>
    <xf numFmtId="0" fontId="86" fillId="35" borderId="49" xfId="19" applyAlignment="1" applyBorder="1" applyFont="1" applyFill="1" applyProtection="1">
      <alignment horizontal="left" vertical="top" wrapText="1"/>
      <protection locked="0"/>
    </xf>
    <xf numFmtId="6" fontId="86" fillId="34" borderId="5" xfId="19" applyAlignment="1" applyBorder="1" applyFont="1" applyNumberFormat="1" applyFill="1" applyProtection="1">
      <alignment horizontal="center" vertical="top" wrapText="1"/>
      <protection locked="0"/>
    </xf>
    <xf numFmtId="0" fontId="86" fillId="35" borderId="1" xfId="19" applyAlignment="1" applyBorder="1" applyFont="1" applyFill="1" applyProtection="1">
      <alignment horizontal="left" vertical="top" wrapText="1"/>
      <protection locked="0"/>
    </xf>
    <xf numFmtId="6" fontId="86" fillId="34" borderId="67" xfId="19" applyAlignment="1" applyBorder="1" applyFont="1" applyNumberFormat="1" applyFill="1" applyProtection="1">
      <alignment horizontal="center" vertical="top" wrapText="1"/>
      <protection locked="0"/>
    </xf>
    <xf numFmtId="6" fontId="86" fillId="34" borderId="1" xfId="19" applyAlignment="1" applyBorder="1" applyFont="1" applyNumberFormat="1" applyFill="1" applyProtection="1">
      <alignment horizontal="center" vertical="top" wrapText="1"/>
      <protection locked="0"/>
    </xf>
    <xf numFmtId="6" fontId="86" fillId="34" borderId="63" xfId="19" applyAlignment="1" applyBorder="1" applyFont="1" applyNumberFormat="1" applyFill="1" applyProtection="1">
      <alignment horizontal="center" vertical="top" wrapText="1"/>
      <protection locked="0"/>
    </xf>
    <xf numFmtId="0" fontId="86" fillId="34" borderId="5" xfId="19" applyAlignment="1" applyBorder="1" applyFont="1" applyFill="1" applyProtection="1">
      <alignment horizontal="center" vertical="top" wrapText="1"/>
      <protection locked="0"/>
    </xf>
    <xf numFmtId="0" fontId="79" fillId="29" borderId="49" xfId="19" applyAlignment="1" applyBorder="1" applyFont="1" applyFill="1" applyProtection="1">
      <alignment horizontal="left" vertical="top" wrapText="1"/>
      <protection locked="0"/>
    </xf>
    <xf numFmtId="0" fontId="86" fillId="34" borderId="67" xfId="19" applyAlignment="1" applyBorder="1" applyFont="1" applyFill="1" applyProtection="1">
      <alignment horizontal="center" vertical="top" wrapText="1"/>
      <protection locked="0"/>
    </xf>
    <xf numFmtId="0" fontId="86" fillId="34" borderId="63" xfId="19" applyAlignment="1" applyBorder="1" applyFont="1" applyFill="1" applyProtection="1">
      <alignment horizontal="center" vertical="top" wrapText="1"/>
      <protection locked="0"/>
    </xf>
    <xf numFmtId="0" fontId="86" fillId="29" borderId="0" xfId="19" applyAlignment="1" applyBorder="1" applyFont="1" applyFill="1" applyProtection="1">
      <alignment horizontal="center" vertical="top" wrapText="1"/>
      <protection locked="0"/>
    </xf>
    <xf numFmtId="0" fontId="79" fillId="35" borderId="49" xfId="19" applyAlignment="1" applyBorder="1" applyFont="1" applyFill="1" applyProtection="1">
      <alignment horizontal="left" vertical="top" wrapText="1"/>
      <protection locked="0"/>
    </xf>
    <xf numFmtId="0" fontId="47" fillId="35" borderId="1" xfId="19" applyAlignment="1" applyBorder="1" applyFont="1" applyFill="1" applyProtection="1">
      <alignment horizontal="left" vertical="top" wrapText="1"/>
      <protection locked="0"/>
    </xf>
    <xf numFmtId="43" fontId="86" fillId="34" borderId="1" xfId="19" applyAlignment="1" applyBorder="1" applyFont="1" applyNumberFormat="1" applyFill="1" applyProtection="1">
      <alignment horizontal="center" vertical="top" wrapText="1"/>
      <protection locked="0"/>
    </xf>
    <xf numFmtId="0" fontId="79" fillId="29" borderId="67" xfId="19" applyAlignment="1" applyBorder="1" applyFont="1" applyFill="1" applyProtection="1">
      <alignment horizontal="center" vertical="center" wrapText="1"/>
      <protection locked="0"/>
    </xf>
    <xf numFmtId="0" fontId="88" fillId="30" borderId="0" xfId="19" applyAlignment="1" applyBorder="1" applyFont="1" applyFill="1" applyProtection="1">
      <alignment vertical="top" wrapText="1"/>
      <protection locked="0"/>
    </xf>
    <xf numFmtId="0" fontId="38" fillId="30" borderId="0" xfId="1" applyAlignment="1" applyBorder="1" applyFont="1" applyFill="1" applyProtection="1">
      <alignment vertical="top" wrapText="1"/>
      <protection locked="0"/>
    </xf>
    <xf numFmtId="0" fontId="13" fillId="30" borderId="0" xfId="0" applyBorder="1" applyFont="1" applyFill="1" applyProtection="1"/>
    <xf numFmtId="0" fontId="79" fillId="35" borderId="1" xfId="19" applyAlignment="1" applyBorder="1" applyFont="1" applyFill="1" applyProtection="1">
      <alignment horizontal="left" wrapText="1"/>
      <protection locked="0"/>
    </xf>
    <xf numFmtId="0" fontId="86" fillId="34" borderId="68" xfId="19" applyAlignment="1" applyBorder="1" applyFont="1" applyFill="1" applyProtection="1">
      <alignment horizontal="left" wrapText="1"/>
      <protection locked="0"/>
    </xf>
    <xf numFmtId="0" fontId="13" fillId="32" borderId="64" xfId="1" applyAlignment="1" applyBorder="1" applyFont="1" applyFill="1" applyProtection="1">
      <alignment horizontal="left" wrapText="1"/>
      <protection locked="0"/>
    </xf>
    <xf numFmtId="9" fontId="13" fillId="34" borderId="69" xfId="1" applyAlignment="1" applyBorder="1" applyFont="1" applyNumberFormat="1" applyFill="1" applyProtection="1">
      <alignment horizontal="left" wrapText="1"/>
      <protection locked="0"/>
    </xf>
    <xf numFmtId="0" fontId="13" fillId="34" borderId="64" xfId="1" applyAlignment="1" applyBorder="1" applyFont="1" applyFill="1" applyProtection="1">
      <alignment horizontal="left" wrapText="1"/>
      <protection locked="0"/>
    </xf>
    <xf numFmtId="43" fontId="13" fillId="34" borderId="0" xfId="1" applyAlignment="1" applyBorder="1" applyFont="1" applyNumberFormat="1" applyFill="1" applyProtection="1">
      <alignment horizontal="left"/>
      <protection locked="0"/>
    </xf>
    <xf numFmtId="0" fontId="1" fillId="0" borderId="5" xfId="74" applyAlignment="1" applyBorder="1" applyFont="1" applyProtection="1">
      <alignment horizontal="left"/>
      <protection locked="0"/>
    </xf>
    <xf numFmtId="0" fontId="1" fillId="30" borderId="0" xfId="74" applyAlignment="1" applyBorder="1" applyFont="1" applyFill="1" applyProtection="1">
      <alignment horizontal="left"/>
      <protection locked="0"/>
    </xf>
    <xf numFmtId="43" fontId="1" fillId="0" borderId="5" xfId="76" applyAlignment="1" applyBorder="1" applyFont="1" applyNumberFormat="1" applyProtection="1">
      <alignment horizontal="left"/>
      <protection locked="0"/>
    </xf>
    <xf numFmtId="43" fontId="1" fillId="0" borderId="5" xfId="76" applyAlignment="1" applyBorder="1" applyFont="1" applyNumberFormat="1" applyFill="1" applyProtection="1">
      <alignment horizontal="left"/>
      <protection locked="0"/>
    </xf>
    <xf numFmtId="0" fontId="0" fillId="0" borderId="5" xfId="0" applyAlignment="1" applyBorder="1" applyProtection="1">
      <alignment horizontal="left"/>
      <protection locked="0"/>
    </xf>
    <xf numFmtId="0" fontId="86" fillId="34" borderId="62" xfId="19" applyAlignment="1" applyBorder="1" applyFont="1" applyFill="1" applyProtection="1">
      <alignment horizontal="left" wrapText="1"/>
      <protection locked="0"/>
    </xf>
    <xf numFmtId="0" fontId="13" fillId="34" borderId="69" xfId="1" applyAlignment="1" applyBorder="1" applyFont="1" applyNumberFormat="1" applyFill="1" applyProtection="1">
      <alignment horizontal="left" wrapText="1"/>
      <protection locked="0"/>
    </xf>
    <xf numFmtId="0" fontId="13" fillId="32" borderId="70" xfId="1" applyAlignment="1" applyBorder="1" applyFont="1" applyNumberFormat="1" applyFill="1" applyProtection="1">
      <alignment horizontal="left" wrapText="1"/>
      <protection locked="0"/>
    </xf>
    <xf numFmtId="0" fontId="13" fillId="34" borderId="51" xfId="1" applyAlignment="1" applyBorder="1" applyFont="1" applyFill="1" applyProtection="1">
      <alignment horizontal="left" wrapText="1"/>
      <protection locked="0"/>
    </xf>
    <xf numFmtId="0" fontId="86" fillId="34" borderId="1" xfId="19" applyAlignment="1" applyBorder="1" applyFont="1" applyFill="1" applyProtection="1">
      <alignment horizontal="left" wrapText="1"/>
      <protection locked="0"/>
    </xf>
    <xf numFmtId="0" fontId="13" fillId="30" borderId="0" xfId="1" applyAlignment="1" applyBorder="1" applyFont="1" applyFill="1" applyProtection="1">
      <alignment horizontal="left"/>
      <protection locked="0"/>
    </xf>
    <xf numFmtId="0" fontId="13" fillId="0" borderId="5" xfId="1" applyAlignment="1" applyBorder="1" applyFont="1" applyFill="1" applyProtection="1">
      <alignment horizontal="left"/>
      <protection locked="0"/>
    </xf>
    <xf numFmtId="0" fontId="53" fillId="30" borderId="0" xfId="10" applyAlignment="1" applyBorder="1" applyFont="1" applyFill="1" applyProtection="1">
      <alignment horizontal="left"/>
    </xf>
    <xf numFmtId="0" fontId="57" fillId="30" borderId="0" xfId="10" applyBorder="1" applyFont="1" applyFill="1" applyProtection="1"/>
    <xf numFmtId="0" fontId="0" fillId="30" borderId="0" xfId="0" applyAlignment="1" applyFill="1">
      <alignment wrapText="1"/>
    </xf>
    <xf numFmtId="0" fontId="47" fillId="30" borderId="0" xfId="0" applyAlignment="1" applyBorder="1" applyFont="1" applyFill="1" applyProtection="1">
      <alignment horizontal="left" vertical="top" wrapText="1"/>
    </xf>
    <xf numFmtId="0" fontId="38" fillId="30" borderId="0" xfId="0" applyBorder="1" applyFont="1" applyFill="1" applyProtection="1"/>
    <xf numFmtId="169" fontId="38" fillId="30" borderId="0" xfId="0" applyBorder="1" applyFont="1" applyNumberFormat="1" applyFill="1" applyProtection="1"/>
    <xf numFmtId="169" fontId="0" fillId="30" borderId="0" xfId="0" applyBorder="1" applyNumberFormat="1" applyFill="1" applyProtection="1"/>
    <xf numFmtId="0" fontId="47" fillId="30" borderId="0" xfId="0" applyAlignment="1" applyBorder="1" applyFont="1" applyFill="1" applyProtection="1">
      <alignment horizontal="left"/>
    </xf>
    <xf numFmtId="169" fontId="0" fillId="30" borderId="0" xfId="0" applyBorder="1" applyNumberFormat="1" applyFill="1"/>
    <xf numFmtId="169" fontId="38" fillId="30" borderId="0" xfId="0" applyBorder="1" applyFont="1" applyNumberFormat="1" applyFill="1"/>
    <xf numFmtId="0" fontId="47" fillId="30" borderId="0" xfId="0" applyAlignment="1" applyBorder="1" applyFont="1" applyFill="1">
      <alignment horizontal="left" vertical="top" wrapText="1"/>
    </xf>
    <xf numFmtId="0" fontId="38" fillId="30" borderId="0" xfId="0" applyBorder="1" applyFont="1" applyFill="1"/>
    <xf numFmtId="0" fontId="47" fillId="30" borderId="0" xfId="0" applyAlignment="1" applyBorder="1" applyFont="1" applyFill="1">
      <alignment horizontal="left"/>
    </xf>
    <xf numFmtId="169" fontId="0" fillId="30" borderId="0" xfId="0" applyNumberFormat="1" applyFill="1" applyProtection="1"/>
    <xf numFmtId="0" fontId="71" fillId="30" borderId="0" xfId="0" applyAlignment="1" applyFont="1" applyFill="1" applyProtection="1">
      <alignment vertical="top" wrapText="1"/>
    </xf>
    <xf numFmtId="169" fontId="57" fillId="30" borderId="0" xfId="0" applyBorder="1" applyFont="1" applyNumberFormat="1" applyFill="1" applyProtection="1"/>
    <xf numFmtId="0" fontId="57" fillId="30" borderId="0" xfId="0" applyAlignment="1" applyBorder="1" applyFont="1" applyFill="1" applyProtection="1">
      <alignment wrapText="1"/>
    </xf>
    <xf numFmtId="0" fontId="0" fillId="30" borderId="20" xfId="0" applyBorder="1" applyFill="1" applyProtection="1"/>
    <xf numFmtId="0" fontId="0" fillId="30" borderId="11" xfId="0" applyBorder="1" applyFill="1" applyProtection="1"/>
    <xf numFmtId="0" fontId="0" fillId="30" borderId="12" xfId="0" applyBorder="1" applyFill="1" applyProtection="1"/>
    <xf numFmtId="0" fontId="13" fillId="30" borderId="21" xfId="0" applyBorder="1" applyFont="1" applyFill="1" applyProtection="1"/>
    <xf numFmtId="43" fontId="0" fillId="30" borderId="13" xfId="5" applyBorder="1" applyFont="1" applyNumberFormat="1" applyFill="1" applyProtection="1"/>
    <xf numFmtId="0" fontId="0" fillId="30" borderId="21" xfId="0" applyBorder="1" applyFill="1" applyProtection="1"/>
    <xf numFmtId="0" fontId="0" fillId="30" borderId="13" xfId="0" applyBorder="1" applyFill="1" applyProtection="1"/>
    <xf numFmtId="0" fontId="0" fillId="30" borderId="22" xfId="0" applyBorder="1" applyFill="1" applyProtection="1"/>
    <xf numFmtId="0" fontId="0" fillId="30" borderId="18" xfId="0" applyBorder="1" applyFill="1" applyProtection="1"/>
    <xf numFmtId="0" fontId="0" fillId="30" borderId="23" xfId="0" applyBorder="1" applyFill="1" applyProtection="1"/>
    <xf numFmtId="0" fontId="0" fillId="30" borderId="0" xfId="0" applyAlignment="1" applyFill="1" applyProtection="1">
      <alignment vertical="top"/>
    </xf>
    <xf numFmtId="0" fontId="47" fillId="30" borderId="71" xfId="0" applyBorder="1" applyFont="1" applyFill="1" applyProtection="1"/>
    <xf numFmtId="0" fontId="0" fillId="30" borderId="55" xfId="0" applyBorder="1" applyFill="1" applyProtection="1"/>
    <xf numFmtId="0" fontId="47" fillId="30" borderId="72" xfId="0" applyBorder="1" applyFont="1" applyFill="1" applyProtection="1"/>
    <xf numFmtId="0" fontId="0" fillId="30" borderId="54" xfId="0" applyBorder="1" applyFill="1" applyProtection="1"/>
    <xf numFmtId="0" fontId="69" fillId="30" borderId="0" xfId="0" applyAlignment="1" applyBorder="1" applyFont="1" applyFill="1" applyProtection="1">
      <alignment vertical="top" wrapText="1"/>
    </xf>
    <xf numFmtId="8" fontId="69" fillId="30" borderId="0" xfId="0" applyAlignment="1" applyBorder="1" applyFont="1" applyNumberFormat="1" applyFill="1" applyProtection="1">
      <alignment vertical="top" wrapText="1"/>
    </xf>
    <xf numFmtId="0" fontId="71" fillId="30" borderId="27" xfId="0" applyAlignment="1" applyBorder="1" applyFont="1" applyFill="1" applyProtection="1">
      <alignment vertical="top" wrapText="1"/>
    </xf>
    <xf numFmtId="0" fontId="71" fillId="30" borderId="43" xfId="0" applyAlignment="1" applyBorder="1" applyFont="1" applyFill="1" applyProtection="1">
      <alignment vertical="top" wrapText="1"/>
    </xf>
    <xf numFmtId="0" fontId="71" fillId="30" borderId="44" xfId="0" applyAlignment="1" applyBorder="1" applyFont="1" applyFill="1" applyProtection="1">
      <alignment vertical="top" wrapText="1"/>
    </xf>
    <xf numFmtId="0" fontId="71" fillId="30" borderId="71" xfId="0" applyAlignment="1" applyBorder="1" applyFont="1" applyFill="1" applyProtection="1">
      <alignment vertical="top" wrapText="1"/>
    </xf>
    <xf numFmtId="0" fontId="71" fillId="30" borderId="0" xfId="0" applyAlignment="1" applyBorder="1" applyFont="1" applyFill="1" applyProtection="1">
      <alignment vertical="top" wrapText="1"/>
    </xf>
    <xf numFmtId="0" fontId="71" fillId="30" borderId="55" xfId="0" applyAlignment="1" applyBorder="1" applyFont="1" applyFill="1" applyProtection="1">
      <alignment vertical="top" wrapText="1"/>
    </xf>
    <xf numFmtId="0" fontId="0" fillId="30" borderId="71" xfId="0" applyBorder="1" applyFill="1" applyProtection="1"/>
    <xf numFmtId="8" fontId="0" fillId="30" borderId="0" xfId="0" applyBorder="1" applyNumberFormat="1" applyFill="1" applyProtection="1"/>
    <xf numFmtId="0" fontId="57" fillId="30" borderId="71" xfId="0" applyBorder="1" applyFont="1" applyFill="1" applyProtection="1"/>
    <xf numFmtId="0" fontId="57" fillId="30" borderId="0" xfId="0" applyBorder="1" applyFont="1" applyFill="1" applyProtection="1"/>
    <xf numFmtId="169" fontId="57" fillId="30" borderId="55" xfId="0" applyBorder="1" applyFont="1" applyNumberFormat="1" applyFill="1" applyProtection="1"/>
    <xf numFmtId="0" fontId="72" fillId="30" borderId="71" xfId="11" applyAlignment="1" applyBorder="1" applyFont="1" applyFill="1" applyProtection="1"/>
    <xf numFmtId="169" fontId="37" fillId="30" borderId="55" xfId="0" applyBorder="1" applyFont="1" applyNumberFormat="1" applyFill="1" applyProtection="1"/>
    <xf numFmtId="0" fontId="59" fillId="30" borderId="71" xfId="0" applyAlignment="1" applyBorder="1" applyFont="1" applyFill="1" applyProtection="1">
      <alignment horizontal="center" wrapText="1"/>
    </xf>
    <xf numFmtId="0" fontId="59" fillId="30" borderId="0" xfId="0" applyAlignment="1" applyBorder="1" applyFont="1" applyFill="1" applyProtection="1">
      <alignment horizontal="center" wrapText="1"/>
    </xf>
    <xf numFmtId="0" fontId="60" fillId="30" borderId="71" xfId="0" applyAlignment="1" applyBorder="1" applyFont="1" applyFill="1" applyProtection="1">
      <alignment horizontal="left" wrapText="1"/>
    </xf>
    <xf numFmtId="0" fontId="60" fillId="30" borderId="0" xfId="0" applyAlignment="1" applyBorder="1" applyFont="1" applyFill="1" applyProtection="1">
      <alignment horizontal="justify" vertical="top" wrapText="1"/>
    </xf>
    <xf numFmtId="169" fontId="0" fillId="30" borderId="55" xfId="0" applyBorder="1" applyNumberFormat="1" applyFill="1" applyProtection="1"/>
    <xf numFmtId="0" fontId="60" fillId="30" borderId="71" xfId="0" applyAlignment="1" applyBorder="1" applyFont="1" applyFill="1" applyProtection="1">
      <alignment horizontal="left" wrapText="1" indent="5"/>
    </xf>
    <xf numFmtId="3" fontId="60" fillId="30" borderId="0" xfId="0" applyAlignment="1" applyBorder="1" applyFont="1" applyNumberFormat="1" applyFill="1" applyProtection="1">
      <alignment horizontal="justify" vertical="top" wrapText="1"/>
    </xf>
    <xf numFmtId="0" fontId="60" fillId="30" borderId="72" xfId="0" applyAlignment="1" applyBorder="1" applyFont="1" applyFill="1" applyProtection="1">
      <alignment horizontal="left" wrapText="1" indent="5"/>
    </xf>
    <xf numFmtId="0" fontId="60" fillId="30" borderId="53" xfId="0" applyAlignment="1" applyBorder="1" applyFont="1" applyFill="1" applyProtection="1">
      <alignment horizontal="justify" vertical="top" wrapText="1"/>
    </xf>
    <xf numFmtId="3" fontId="60" fillId="30" borderId="53" xfId="0" applyAlignment="1" applyBorder="1" applyFont="1" applyNumberFormat="1" applyFill="1" applyProtection="1">
      <alignment horizontal="justify" vertical="top" wrapText="1"/>
    </xf>
    <xf numFmtId="0" fontId="60" fillId="30" borderId="0" xfId="0" applyAlignment="1" applyBorder="1" applyFont="1" applyFill="1" applyProtection="1">
      <alignment horizontal="left" wrapText="1" indent="2"/>
    </xf>
    <xf numFmtId="0" fontId="54" fillId="30" borderId="0" xfId="10" applyBorder="1" applyFont="1" applyFill="1" applyProtection="1"/>
    <xf numFmtId="0" fontId="55" fillId="30" borderId="0" xfId="10" applyAlignment="1" applyBorder="1" applyFont="1" applyFill="1" applyProtection="1">
      <alignment horizontal="left"/>
    </xf>
    <xf numFmtId="0" fontId="57" fillId="30" borderId="0" xfId="10" applyAlignment="1" applyBorder="1" applyFont="1" applyFill="1" applyProtection="1">
      <alignment vertical="top"/>
    </xf>
    <xf numFmtId="0" fontId="0" fillId="30" borderId="0" xfId="0" applyAlignment="1" applyBorder="1" applyFill="1" applyProtection="1">
      <alignment vertical="top" wrapText="1"/>
    </xf>
    <xf numFmtId="1" fontId="53" fillId="30" borderId="0" xfId="10" applyAlignment="1" applyBorder="1" applyFont="1" applyNumberFormat="1" applyFill="1" applyProtection="1">
      <alignment horizontal="left"/>
    </xf>
    <xf numFmtId="0" fontId="56" fillId="30" borderId="0" xfId="10" applyBorder="1" applyFont="1" applyFill="1" applyProtection="1"/>
    <xf numFmtId="0" fontId="58" fillId="30" borderId="0" xfId="10" applyAlignment="1" applyBorder="1" applyFont="1" applyFill="1" applyProtection="1">
      <alignment horizontal="left"/>
    </xf>
    <xf numFmtId="14" fontId="53" fillId="30" borderId="0" xfId="10" applyAlignment="1" applyBorder="1" applyFont="1" applyNumberFormat="1" applyFill="1" applyProtection="1">
      <alignment horizontal="left"/>
    </xf>
    <xf numFmtId="0" fontId="0" fillId="30" borderId="5" xfId="0" applyAlignment="1" applyBorder="1" applyFill="1" applyProtection="1">
      <alignment wrapText="1"/>
      <protection locked="0"/>
    </xf>
    <xf numFmtId="0" fontId="79" fillId="29" borderId="63" xfId="19" applyAlignment="1" applyBorder="1" applyFont="1" applyFill="1" applyProtection="1">
      <alignment horizontal="center" vertical="top" wrapText="1"/>
      <protection locked="0"/>
    </xf>
    <xf numFmtId="0" fontId="7" fillId="7" borderId="24" xfId="0" applyAlignment="1" applyBorder="1" applyFont="1" applyFill="1">
      <alignment horizontal="center" vertical="center" wrapText="1"/>
    </xf>
    <xf numFmtId="1" fontId="3" fillId="28" borderId="72" xfId="0" applyAlignment="1" applyBorder="1" applyFont="1" applyNumberFormat="1" applyFill="1" applyProtection="1">
      <alignment horizontal="center" vertical="center" wrapText="1"/>
      <protection locked="0"/>
    </xf>
    <xf numFmtId="43" fontId="3" fillId="0" borderId="5" xfId="5" applyBorder="1" applyFont="1" applyNumberFormat="1"/>
    <xf numFmtId="43" fontId="3" fillId="28" borderId="5" xfId="5" applyBorder="1" applyFont="1" applyNumberFormat="1" applyFill="1"/>
    <xf numFmtId="43" fontId="3" fillId="6" borderId="5" xfId="5" applyAlignment="1" applyBorder="1" applyFont="1" applyNumberFormat="1" applyFill="1" applyProtection="1">
      <alignment horizontal="right" vertical="center"/>
      <protection locked="0"/>
    </xf>
    <xf numFmtId="43" fontId="3" fillId="28" borderId="5" xfId="5" applyAlignment="1" applyBorder="1" applyFont="1" applyNumberFormat="1" applyFill="1">
      <alignment horizontal="center" vertical="center"/>
    </xf>
    <xf numFmtId="43" fontId="5" fillId="6" borderId="5" xfId="5" applyAlignment="1" applyBorder="1" applyFont="1" applyNumberFormat="1" applyFill="1">
      <alignment horizontal="center" vertical="center" wrapText="1"/>
    </xf>
    <xf numFmtId="8" fontId="3" fillId="28" borderId="5" xfId="0" applyAlignment="1" applyBorder="1" applyFont="1" applyNumberFormat="1" applyFill="1" applyProtection="1">
      <alignment horizontal="center" vertical="center"/>
      <protection locked="0"/>
    </xf>
    <xf numFmtId="44" fontId="3" fillId="28" borderId="5" xfId="0" applyAlignment="1" applyBorder="1" applyFont="1" applyNumberFormat="1" applyFill="1" applyProtection="1">
      <protection locked="0"/>
    </xf>
    <xf numFmtId="7" fontId="5" fillId="0" borderId="5" xfId="0" applyBorder="1" applyFont="1" applyNumberFormat="1" applyProtection="1"/>
    <xf numFmtId="0" fontId="3" fillId="8" borderId="5" xfId="0" applyAlignment="1" applyBorder="1" applyFont="1" applyFill="1" applyProtection="1">
      <alignment horizontal="left" vertical="center"/>
      <protection locked="0"/>
    </xf>
    <xf numFmtId="0" fontId="5" fillId="9" borderId="5" xfId="0" applyAlignment="1" applyBorder="1" applyFont="1" applyFill="1" applyProtection="1">
      <alignment horizontal="left" vertical="center" wrapText="1"/>
    </xf>
    <xf numFmtId="44" fontId="8" fillId="9" borderId="5" xfId="0" applyAlignment="1" applyBorder="1" applyFont="1" applyNumberFormat="1" applyFill="1" applyProtection="1">
      <alignment horizontal="center" vertical="center"/>
    </xf>
    <xf numFmtId="8" fontId="7" fillId="0" borderId="5" xfId="0" applyAlignment="1" applyBorder="1" applyFont="1" applyNumberFormat="1" applyFill="1" applyProtection="1">
      <alignment horizontal="left" vertical="center"/>
    </xf>
    <xf numFmtId="0" fontId="5" fillId="32" borderId="5" xfId="0" applyAlignment="1" applyBorder="1" applyFont="1" applyFill="1" applyProtection="1">
      <alignment horizontal="left" vertical="center" wrapText="1"/>
    </xf>
    <xf numFmtId="44" fontId="3" fillId="32" borderId="5" xfId="0" applyAlignment="1" applyBorder="1" applyFont="1" applyNumberFormat="1" applyFill="1" applyProtection="1">
      <alignment horizontal="center" vertical="center"/>
      <protection locked="0"/>
    </xf>
    <xf numFmtId="0" fontId="3" fillId="0" borderId="0" xfId="0" applyAlignment="1" applyFont="1" applyProtection="1">
      <alignment horizontal="center" vertical="center" wrapText="1"/>
      <protection locked="0"/>
    </xf>
    <xf numFmtId="0" fontId="3" fillId="7" borderId="5" xfId="0" applyAlignment="1" applyBorder="1" applyFont="1" applyFill="1" applyProtection="1">
      <alignment vertical="top" wrapText="1"/>
    </xf>
    <xf numFmtId="0" fontId="0" fillId="37" borderId="5" xfId="0" applyAlignment="1" applyBorder="1" applyFill="1" applyProtection="1">
      <alignment horizontal="left" vertical="top" wrapText="1"/>
      <protection locked="0"/>
    </xf>
    <xf numFmtId="0" fontId="13" fillId="37" borderId="5" xfId="0" applyAlignment="1" applyBorder="1" applyFont="1" applyFill="1" applyProtection="1">
      <alignment horizontal="left" vertical="top" wrapText="1"/>
      <protection locked="0"/>
    </xf>
    <xf numFmtId="0" fontId="0" fillId="30" borderId="0" xfId="0" applyAlignment="1" applyBorder="1" applyFill="1">
      <alignment horizontal="left" vertical="top"/>
    </xf>
    <xf numFmtId="14" fontId="13" fillId="37" borderId="5" xfId="0" applyAlignment="1" applyBorder="1" applyFont="1" applyNumberFormat="1" applyFill="1" applyProtection="1">
      <alignment horizontal="left" vertical="top" wrapText="1"/>
      <protection locked="0"/>
    </xf>
    <xf numFmtId="14" fontId="0" fillId="37" borderId="5" xfId="0" applyAlignment="1" applyBorder="1" applyNumberFormat="1" applyFill="1" applyProtection="1">
      <alignment horizontal="left" vertical="top" wrapText="1"/>
      <protection locked="0"/>
    </xf>
    <xf numFmtId="14" fontId="0" fillId="38" borderId="5" xfId="0" applyAlignment="1" applyBorder="1" applyNumberFormat="1" applyFill="1" applyProtection="1">
      <alignment horizontal="left" vertical="top" wrapText="1"/>
    </xf>
    <xf numFmtId="0" fontId="13" fillId="38" borderId="5" xfId="0" applyAlignment="1" applyBorder="1" applyFont="1" applyFill="1" applyProtection="1">
      <alignment horizontal="left" vertical="top" wrapText="1"/>
      <protection locked="0"/>
    </xf>
    <xf numFmtId="0" fontId="13" fillId="38" borderId="5" xfId="0" applyAlignment="1" applyBorder="1" applyFont="1" applyFill="1" applyProtection="1">
      <alignment horizontal="left" vertical="top"/>
      <protection locked="0"/>
    </xf>
    <xf numFmtId="0" fontId="5" fillId="39" borderId="5" xfId="0" applyAlignment="1" applyBorder="1" applyFont="1" applyFill="1" applyProtection="1">
      <alignment horizontal="left" vertical="top" wrapText="1"/>
      <protection locked="0"/>
    </xf>
    <xf numFmtId="0" fontId="74" fillId="30" borderId="0" xfId="0" applyAlignment="1" applyBorder="1" applyFont="1" applyFill="1">
      <alignment horizontal="left" vertical="top"/>
    </xf>
    <xf numFmtId="0" fontId="93" fillId="39" borderId="5" xfId="11" applyAlignment="1" applyBorder="1" applyFont="1" applyFill="1" applyProtection="1">
      <alignment horizontal="left" vertical="top" wrapText="1"/>
      <protection locked="0"/>
    </xf>
    <xf numFmtId="1" fontId="0" fillId="37" borderId="5" xfId="0" applyAlignment="1" applyBorder="1" applyNumberFormat="1" applyFill="1" applyProtection="1">
      <alignment horizontal="left" vertical="top" wrapText="1"/>
      <protection locked="0"/>
    </xf>
    <xf numFmtId="0" fontId="2" fillId="30" borderId="0" xfId="0" applyAlignment="1" applyBorder="1" applyFont="1" applyFill="1" applyProtection="1">
      <alignment horizontal="left" vertical="top"/>
    </xf>
    <xf numFmtId="0" fontId="5" fillId="39" borderId="5" xfId="0" applyAlignment="1" applyBorder="1" applyFont="1" applyFill="1" applyProtection="1">
      <alignment horizontal="left" vertical="top"/>
    </xf>
    <xf numFmtId="0" fontId="0" fillId="37" borderId="5" xfId="0" applyAlignment="1" applyBorder="1" applyFill="1" applyProtection="1">
      <alignment horizontal="left" vertical="top"/>
      <protection locked="0"/>
    </xf>
    <xf numFmtId="0" fontId="0" fillId="39" borderId="5" xfId="0" applyAlignment="1" applyBorder="1" applyFill="1">
      <alignment horizontal="left" vertical="top"/>
    </xf>
    <xf numFmtId="0" fontId="5" fillId="39" borderId="5" xfId="0" applyAlignment="1" applyBorder="1" applyFont="1" applyFill="1" applyProtection="1">
      <alignment horizontal="left" vertical="top"/>
      <protection locked="0"/>
    </xf>
    <xf numFmtId="0" fontId="5" fillId="30" borderId="0" xfId="0" applyAlignment="1" applyBorder="1" applyFont="1" applyFill="1">
      <alignment horizontal="left" vertical="top"/>
    </xf>
    <xf numFmtId="0" fontId="94" fillId="40" borderId="5" xfId="0" applyAlignment="1" applyBorder="1" applyFont="1" applyFill="1" applyProtection="1">
      <alignment horizontal="left" vertical="top"/>
      <protection locked="0"/>
    </xf>
    <xf numFmtId="0" fontId="0" fillId="38" borderId="5" xfId="0" applyAlignment="1" applyBorder="1" applyFill="1" applyProtection="1">
      <alignment horizontal="left" vertical="top"/>
    </xf>
    <xf numFmtId="0" fontId="94" fillId="40" borderId="5" xfId="0" applyAlignment="1" applyBorder="1" applyFont="1" applyFill="1" applyProtection="1">
      <alignment horizontal="left" vertical="top"/>
    </xf>
    <xf numFmtId="14" fontId="0" fillId="38" borderId="5" xfId="0" applyAlignment="1" applyBorder="1" applyNumberFormat="1" applyFill="1" applyProtection="1">
      <alignment horizontal="left" vertical="top"/>
    </xf>
    <xf numFmtId="0" fontId="8" fillId="30" borderId="0" xfId="0" applyAlignment="1" applyBorder="1" applyFont="1" applyFill="1">
      <alignment vertical="top"/>
    </xf>
    <xf numFmtId="0" fontId="72" fillId="30" borderId="0" xfId="11" applyAlignment="1" applyBorder="1" applyFont="1" applyFill="1" applyProtection="1">
      <alignment vertical="top"/>
    </xf>
    <xf numFmtId="0" fontId="0" fillId="30" borderId="0" xfId="0" applyAlignment="1" applyFill="1">
      <alignment vertical="top"/>
    </xf>
    <xf numFmtId="0" fontId="8" fillId="30" borderId="5" xfId="0" applyAlignment="1" applyBorder="1" applyFont="1" applyFill="1">
      <alignment vertical="top"/>
    </xf>
    <xf numFmtId="0" fontId="8" fillId="30" borderId="5" xfId="0" applyAlignment="1" applyBorder="1" applyFont="1" applyFill="1" applyProtection="1">
      <alignment vertical="top"/>
      <protection locked="0"/>
    </xf>
    <xf numFmtId="0" fontId="0" fillId="30" borderId="4" xfId="0" applyAlignment="1" applyBorder="1" applyFill="1" applyProtection="1">
      <alignment vertical="top"/>
      <protection locked="0"/>
    </xf>
    <xf numFmtId="0" fontId="8" fillId="30" borderId="7" xfId="0" applyAlignment="1" applyBorder="1" applyFont="1" applyFill="1" applyProtection="1">
      <alignment vertical="top"/>
      <protection locked="0"/>
    </xf>
    <xf numFmtId="0" fontId="0" fillId="30" borderId="27" xfId="0" applyAlignment="1" applyBorder="1" applyFill="1" applyProtection="1">
      <alignment vertical="top"/>
      <protection locked="0"/>
    </xf>
    <xf numFmtId="0" fontId="8" fillId="30" borderId="0" xfId="0" applyAlignment="1" applyFont="1" applyFill="1">
      <alignment vertical="top"/>
    </xf>
    <xf numFmtId="0" fontId="0" fillId="30" borderId="0" xfId="0" applyAlignment="1" applyFill="1">
      <alignment horizontal="left" vertical="top"/>
    </xf>
    <xf numFmtId="0" fontId="0" fillId="30" borderId="73" xfId="0" applyAlignment="1" applyBorder="1" applyFill="1">
      <alignment vertical="top"/>
    </xf>
    <xf numFmtId="0" fontId="0" fillId="30" borderId="45" xfId="0" applyAlignment="1" applyBorder="1" applyFill="1">
      <alignment vertical="top"/>
    </xf>
    <xf numFmtId="0" fontId="0" fillId="30" borderId="74" xfId="0" applyAlignment="1" applyBorder="1" applyFill="1">
      <alignment vertical="top"/>
    </xf>
    <xf numFmtId="0" fontId="0" fillId="30" borderId="5" xfId="0" applyAlignment="1" applyBorder="1" applyFill="1">
      <alignment vertical="top"/>
    </xf>
    <xf numFmtId="0" fontId="0" fillId="30" borderId="75" xfId="0" applyAlignment="1" applyBorder="1" applyFill="1">
      <alignment vertical="top"/>
    </xf>
    <xf numFmtId="0" fontId="0" fillId="30" borderId="47" xfId="0" applyAlignment="1" applyBorder="1" applyFill="1">
      <alignment vertical="top"/>
    </xf>
    <xf numFmtId="0" fontId="0" fillId="30" borderId="0" xfId="0" applyAlignment="1" applyBorder="1" applyFill="1">
      <alignment vertical="top"/>
    </xf>
    <xf numFmtId="0" fontId="89" fillId="30" borderId="0" xfId="0" applyAlignment="1" applyBorder="1" applyFont="1" applyFill="1">
      <alignment vertical="top"/>
    </xf>
    <xf numFmtId="0" fontId="7" fillId="30" borderId="5" xfId="0" applyAlignment="1" applyBorder="1" applyFont="1" applyFill="1">
      <alignment horizontal="center" vertical="top"/>
    </xf>
    <xf numFmtId="0" fontId="7" fillId="30" borderId="5" xfId="0" applyAlignment="1" applyBorder="1" applyFont="1" applyFill="1">
      <alignment horizontal="center" vertical="top" wrapText="1"/>
    </xf>
    <xf numFmtId="8" fontId="6" fillId="30" borderId="5" xfId="0" applyAlignment="1" applyBorder="1" applyFont="1" applyNumberFormat="1" applyFill="1" applyProtection="1">
      <alignment horizontal="center" vertical="top"/>
      <protection locked="0"/>
    </xf>
    <xf numFmtId="0" fontId="6" fillId="30" borderId="5" xfId="0" applyAlignment="1" applyBorder="1" applyFont="1" applyFill="1">
      <alignment horizontal="center" vertical="top" wrapText="1"/>
    </xf>
    <xf numFmtId="0" fontId="0" fillId="30" borderId="4" xfId="0" applyAlignment="1" applyBorder="1" applyFill="1">
      <alignment horizontal="left"/>
    </xf>
    <xf numFmtId="0" fontId="0" fillId="30" borderId="25" xfId="0" applyAlignment="1" applyBorder="1" applyFill="1">
      <alignment horizontal="left"/>
    </xf>
    <xf numFmtId="0" fontId="0" fillId="30" borderId="24" xfId="0" applyAlignment="1" applyBorder="1" applyFill="1">
      <alignment horizontal="left"/>
    </xf>
    <xf numFmtId="0" fontId="8" fillId="30" borderId="4" xfId="0" applyAlignment="1" applyBorder="1" applyFont="1" applyFill="1">
      <alignment horizontal="center"/>
    </xf>
    <xf numFmtId="0" fontId="8" fillId="30" borderId="25" xfId="0" applyAlignment="1" applyBorder="1" applyFont="1" applyFill="1">
      <alignment horizontal="center"/>
    </xf>
    <xf numFmtId="0" fontId="8" fillId="30" borderId="24" xfId="0" applyAlignment="1" applyBorder="1" applyFont="1" applyFill="1">
      <alignment horizontal="center"/>
    </xf>
    <xf numFmtId="1" fontId="3" fillId="28" borderId="5" xfId="0" applyAlignment="1" applyBorder="1" applyFont="1" applyNumberFormat="1" applyFill="1" applyProtection="1">
      <alignment horizontal="center" vertical="center" wrapText="1"/>
      <protection locked="0"/>
    </xf>
    <xf numFmtId="44" fontId="5" fillId="0" borderId="5" xfId="0" applyBorder="1" applyFont="1" applyNumberFormat="1"/>
    <xf numFmtId="6" fontId="86" fillId="34" borderId="5" xfId="19" applyAlignment="1" applyBorder="1" applyFont="1" applyNumberFormat="1" applyFill="1" applyProtection="1">
      <alignment horizontal="center" vertical="top"/>
      <protection locked="0"/>
    </xf>
    <xf numFmtId="0" fontId="79" fillId="29" borderId="4" xfId="19" applyAlignment="1" applyBorder="1" applyFont="1" applyFill="1" applyProtection="1">
      <alignment horizontal="center" vertical="top" wrapText="1"/>
      <protection locked="0"/>
    </xf>
    <xf numFmtId="0" fontId="13" fillId="34" borderId="76" xfId="1" applyAlignment="1" applyBorder="1" applyFont="1" applyFill="1" applyProtection="1">
      <alignment horizontal="left" wrapText="1"/>
      <protection locked="0"/>
    </xf>
    <xf numFmtId="6" fontId="86" fillId="34" borderId="4" xfId="19" applyAlignment="1" applyBorder="1" applyFont="1" applyNumberFormat="1" applyFill="1" applyProtection="1">
      <alignment horizontal="center" vertical="top"/>
      <protection locked="0"/>
    </xf>
    <xf numFmtId="0" fontId="1" fillId="30" borderId="0" xfId="74" applyBorder="1" applyFont="1" applyFill="1" applyProtection="1">
      <protection hidden="1"/>
    </xf>
    <xf numFmtId="43" fontId="1" fillId="30" borderId="5" xfId="74" applyAlignment="1" applyBorder="1" applyFont="1" applyNumberFormat="1" applyFill="1" applyProtection="1">
      <alignment wrapText="1"/>
      <protection hidden="1"/>
    </xf>
    <xf numFmtId="0" fontId="79" fillId="29" borderId="5" xfId="19" applyAlignment="1" applyBorder="1" applyFont="1" applyFill="1" applyProtection="1">
      <alignment horizontal="center" vertical="top" wrapText="1"/>
      <protection hidden="1"/>
    </xf>
    <xf numFmtId="0" fontId="79" fillId="41" borderId="24" xfId="19" applyAlignment="1" applyBorder="1" applyFont="1" applyFill="1" applyProtection="1">
      <alignment horizontal="center" vertical="top" wrapText="1"/>
      <protection hidden="1"/>
    </xf>
    <xf numFmtId="43" fontId="13" fillId="34" borderId="5" xfId="1" applyAlignment="1" applyBorder="1" applyFont="1" applyNumberFormat="1" applyFill="1" applyProtection="1">
      <alignment horizontal="left" wrapText="1"/>
      <protection hidden="1"/>
    </xf>
    <xf numFmtId="43" fontId="13" fillId="42" borderId="77" xfId="5" applyAlignment="1" applyBorder="1" applyFont="1" applyNumberFormat="1" applyFill="1" applyProtection="1">
      <alignment horizontal="left"/>
      <protection hidden="1"/>
    </xf>
    <xf numFmtId="0" fontId="1" fillId="30" borderId="0" xfId="74" applyAlignment="1" applyFont="1" applyFill="1" applyProtection="1">
      <alignment vertical="top"/>
      <protection hidden="1"/>
    </xf>
    <xf numFmtId="0" fontId="13" fillId="30" borderId="0" xfId="1" applyAlignment="1" applyBorder="1" applyFont="1" applyFill="1" applyProtection="1">
      <alignment vertical="top"/>
      <protection hidden="1"/>
    </xf>
    <xf numFmtId="0" fontId="79" fillId="41" borderId="78" xfId="19" applyAlignment="1" applyBorder="1" applyFont="1" applyFill="1" applyProtection="1">
      <alignment horizontal="center" vertical="top"/>
      <protection hidden="1"/>
    </xf>
    <xf numFmtId="0" fontId="13" fillId="0" borderId="0" xfId="1" applyAlignment="1" applyBorder="1" applyFont="1" applyFill="1" applyProtection="1">
      <alignment vertical="top"/>
      <protection hidden="1"/>
    </xf>
    <xf numFmtId="0" fontId="13" fillId="0" borderId="43" xfId="1" applyAlignment="1" applyBorder="1" applyFont="1" applyFill="1" applyProtection="1">
      <alignment vertical="top"/>
      <protection hidden="1"/>
    </xf>
    <xf numFmtId="0" fontId="38" fillId="0" borderId="0" xfId="1" applyAlignment="1" applyFont="1" applyProtection="1">
      <alignment vertical="top"/>
      <protection hidden="1"/>
    </xf>
    <xf numFmtId="43" fontId="13" fillId="42" borderId="77" xfId="1" applyAlignment="1" applyBorder="1" applyFont="1" applyNumberFormat="1" applyFill="1" applyProtection="1">
      <alignment vertical="top"/>
      <protection hidden="1"/>
    </xf>
    <xf numFmtId="0" fontId="79" fillId="41" borderId="5" xfId="19" applyAlignment="1" applyBorder="1" applyFont="1" applyFill="1" applyProtection="1">
      <alignment horizontal="center" vertical="top"/>
      <protection hidden="1"/>
    </xf>
    <xf numFmtId="0" fontId="79" fillId="29" borderId="0" xfId="19" applyAlignment="1" applyBorder="1" applyFont="1" applyFill="1" applyProtection="1">
      <alignment horizontal="center" vertical="top"/>
      <protection hidden="1"/>
    </xf>
    <xf numFmtId="43" fontId="13" fillId="42" borderId="24" xfId="1" applyAlignment="1" applyBorder="1" applyFont="1" applyNumberFormat="1" applyFill="1" applyProtection="1">
      <alignment vertical="top"/>
      <protection hidden="1"/>
    </xf>
    <xf numFmtId="0" fontId="86" fillId="29" borderId="0" xfId="19" applyAlignment="1" applyBorder="1" applyFont="1" applyFill="1" applyProtection="1">
      <alignment horizontal="center" vertical="top"/>
      <protection hidden="1"/>
    </xf>
    <xf numFmtId="0" fontId="48" fillId="30" borderId="0" xfId="74" applyAlignment="1" applyBorder="1" applyFont="1" applyFill="1" applyProtection="1">
      <alignment vertical="center"/>
      <protection locked="0"/>
    </xf>
    <xf numFmtId="0" fontId="0" fillId="29" borderId="0" xfId="0" applyFill="1" applyProtection="1">
      <protection locked="0"/>
    </xf>
    <xf numFmtId="0" fontId="17" fillId="29" borderId="0" xfId="0" applyFont="1" applyFill="1" applyProtection="1">
      <protection locked="0"/>
    </xf>
    <xf numFmtId="0" fontId="0" fillId="30" borderId="5" xfId="0" applyBorder="1" applyFill="1" applyProtection="1">
      <protection locked="0"/>
    </xf>
    <xf numFmtId="7" fontId="3" fillId="43" borderId="5" xfId="0" applyAlignment="1" applyBorder="1" applyFont="1" applyNumberFormat="1" applyFill="1" applyProtection="1">
      <alignment horizontal="center" vertical="center" wrapText="1"/>
      <protection hidden="1"/>
    </xf>
    <xf numFmtId="0" fontId="13" fillId="35" borderId="5" xfId="0" applyBorder="1" applyFont="1" applyFill="1" applyProtection="1">
      <protection locked="0"/>
    </xf>
    <xf numFmtId="0" fontId="17" fillId="29" borderId="5" xfId="0" applyBorder="1" applyFont="1" applyFill="1" applyProtection="1">
      <protection locked="0"/>
    </xf>
    <xf numFmtId="0" fontId="17" fillId="29" borderId="5" xfId="0" applyAlignment="1" applyBorder="1" applyFont="1" applyFill="1" applyProtection="1">
      <alignment horizontal="center" vertical="center"/>
      <protection locked="0"/>
    </xf>
    <xf numFmtId="0" fontId="0" fillId="32" borderId="0" xfId="0" applyFont="1" applyFill="1"/>
    <xf numFmtId="0" fontId="57" fillId="32" borderId="0" xfId="10" applyBorder="1" applyFont="1" applyFill="1" applyProtection="1"/>
    <xf numFmtId="0" fontId="53" fillId="32" borderId="0" xfId="10" applyAlignment="1" applyBorder="1" applyFont="1" applyFill="1" applyProtection="1">
      <alignment horizontal="left"/>
    </xf>
    <xf numFmtId="0" fontId="0" fillId="32" borderId="0" xfId="0" applyFill="1" applyProtection="1"/>
    <xf numFmtId="7" fontId="3" fillId="6" borderId="5" xfId="0" applyAlignment="1" applyBorder="1" applyFont="1" applyNumberFormat="1" applyFill="1" applyProtection="1">
      <alignment horizontal="center" vertical="center" wrapText="1"/>
      <protection hidden="1"/>
    </xf>
    <xf numFmtId="7" fontId="5" fillId="0" borderId="5" xfId="0" applyBorder="1" applyFont="1" applyNumberFormat="1" applyProtection="1">
      <protection hidden="1"/>
    </xf>
    <xf numFmtId="0" fontId="3" fillId="0" borderId="5" xfId="0" applyBorder="1" applyFont="1" applyProtection="1">
      <protection hidden="1"/>
    </xf>
    <xf numFmtId="6" fontId="3" fillId="0" borderId="6" xfId="0" applyAlignment="1" applyBorder="1" applyFont="1" applyNumberFormat="1" applyProtection="1">
      <alignment horizontal="left" vertical="top"/>
      <protection hidden="1"/>
    </xf>
    <xf numFmtId="6" fontId="3" fillId="0" borderId="5" xfId="0" applyAlignment="1" applyBorder="1" applyFont="1" applyNumberFormat="1" applyProtection="1">
      <alignment horizontal="left" vertical="top"/>
      <protection hidden="1"/>
    </xf>
    <xf numFmtId="6" fontId="3" fillId="0" borderId="7" xfId="0" applyAlignment="1" applyBorder="1" applyFont="1" applyNumberFormat="1" applyProtection="1">
      <alignment horizontal="left" vertical="top"/>
      <protection hidden="1"/>
    </xf>
    <xf numFmtId="0" fontId="3" fillId="0" borderId="6" xfId="0" applyAlignment="1" applyBorder="1" applyFont="1" applyProtection="1">
      <alignment horizontal="left" vertical="top"/>
      <protection hidden="1"/>
    </xf>
    <xf numFmtId="0" fontId="3" fillId="0" borderId="5" xfId="0" applyAlignment="1" applyBorder="1" applyFont="1" applyProtection="1">
      <alignment horizontal="left" vertical="top"/>
      <protection hidden="1"/>
    </xf>
    <xf numFmtId="0" fontId="1" fillId="0" borderId="0" xfId="132" applyFont="1"/>
    <xf numFmtId="43" fontId="90" fillId="0" borderId="0" xfId="132" applyBorder="1" applyFont="1" applyNumberFormat="1"/>
    <xf numFmtId="0" fontId="0" fillId="30" borderId="0" xfId="0" applyAlignment="1" applyBorder="1" applyFill="1" applyProtection="1">
      <alignment horizontal="left"/>
      <protection locked="0"/>
    </xf>
    <xf numFmtId="0" fontId="13" fillId="29" borderId="5" xfId="0" applyBorder="1" applyFont="1" applyFill="1" applyProtection="1">
      <protection locked="0"/>
    </xf>
    <xf numFmtId="0" fontId="13" fillId="30" borderId="5" xfId="0" applyBorder="1" applyFont="1" applyFill="1" applyProtection="1">
      <protection locked="0"/>
    </xf>
    <xf numFmtId="0" fontId="0" fillId="0" borderId="0" xfId="0" applyProtection="1">
      <protection hidden="1"/>
    </xf>
    <xf numFmtId="0" fontId="104" fillId="0" borderId="5" xfId="327" applyAlignment="1" applyBorder="1" applyFont="1" applyProtection="1">
      <alignment horizontal="right" wrapText="1"/>
      <protection hidden="1"/>
    </xf>
    <xf numFmtId="44" fontId="104" fillId="0" borderId="5" xfId="328" applyAlignment="1" applyBorder="1" applyFont="1" applyNumberFormat="1" applyProtection="1">
      <alignment horizontal="center" vertical="center"/>
      <protection hidden="1"/>
    </xf>
    <xf numFmtId="44" fontId="104" fillId="0" borderId="5" xfId="328" applyAlignment="1" applyBorder="1" applyFont="1" applyNumberFormat="1" applyFill="1" applyProtection="1">
      <alignment horizontal="center"/>
      <protection hidden="1"/>
    </xf>
    <xf numFmtId="44" fontId="104" fillId="0" borderId="0" xfId="328" applyAlignment="1" applyBorder="1" applyFont="1" applyNumberFormat="1" applyProtection="1">
      <alignment horizontal="center" vertical="center"/>
      <protection hidden="1"/>
    </xf>
    <xf numFmtId="0" fontId="1" fillId="0" borderId="0" xfId="327" applyFont="1" applyProtection="1">
      <protection hidden="1"/>
    </xf>
    <xf numFmtId="0" fontId="104" fillId="0" borderId="0" xfId="328" applyAlignment="1" applyFont="1" applyNumberFormat="1" applyProtection="1">
      <alignment horizontal="center"/>
      <protection hidden="1"/>
    </xf>
    <xf numFmtId="0" fontId="43" fillId="32" borderId="5" xfId="327" applyBorder="1" applyFont="1" applyFill="1" applyProtection="1">
      <protection hidden="1"/>
    </xf>
    <xf numFmtId="0" fontId="43" fillId="0" borderId="0"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protection hidden="1"/>
    </xf>
    <xf numFmtId="0" fontId="43" fillId="32" borderId="4" xfId="327" applyBorder="1" applyFont="1" applyFill="1" applyProtection="1">
      <protection hidden="1"/>
    </xf>
    <xf numFmtId="44" fontId="43" fillId="32" borderId="5"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alignment horizontal="center" vertical="center"/>
      <protection hidden="1"/>
    </xf>
    <xf numFmtId="0" fontId="104" fillId="0" borderId="6" xfId="327" applyAlignment="1" applyBorder="1" applyFont="1" applyProtection="1">
      <alignment wrapText="1"/>
      <protection hidden="1"/>
    </xf>
    <xf numFmtId="0" fontId="104" fillId="0" borderId="6" xfId="327" applyAlignment="1" applyBorder="1" applyFont="1" applyProtection="1">
      <alignment horizontal="center" vertical="center" wrapText="1"/>
      <protection hidden="1"/>
    </xf>
    <xf numFmtId="0" fontId="104" fillId="0" borderId="6" xfId="327" applyAlignment="1" applyBorder="1" applyFont="1" applyFill="1" applyProtection="1">
      <alignment horizontal="center" vertical="center" wrapText="1"/>
      <protection hidden="1"/>
    </xf>
    <xf numFmtId="0" fontId="13" fillId="30" borderId="0" xfId="0" applyBorder="1" applyFont="1" applyFill="1"/>
    <xf numFmtId="0" fontId="3" fillId="0" borderId="0" xfId="0" applyFont="1" applyProtection="1">
      <protection hidden="1"/>
    </xf>
    <xf numFmtId="0" fontId="3" fillId="0" borderId="6" xfId="0" applyBorder="1" applyFont="1" applyProtection="1">
      <protection hidden="1"/>
    </xf>
    <xf numFmtId="0" fontId="3" fillId="0" borderId="7" xfId="0" applyBorder="1" applyFont="1" applyProtection="1">
      <protection hidden="1"/>
    </xf>
    <xf numFmtId="0" fontId="3" fillId="0" borderId="0" xfId="0" applyAlignment="1" applyFont="1">
      <alignment wrapText="1"/>
    </xf>
    <xf numFmtId="0" fontId="3" fillId="0" borderId="5" xfId="0" applyAlignment="1" applyBorder="1" applyFont="1">
      <alignment wrapText="1"/>
    </xf>
    <xf numFmtId="0" fontId="3" fillId="0" borderId="6" xfId="0" applyAlignment="1" applyBorder="1" applyFont="1">
      <alignment wrapText="1"/>
    </xf>
    <xf numFmtId="0" fontId="3" fillId="0" borderId="7" xfId="0" applyAlignment="1" applyBorder="1" applyFont="1">
      <alignment wrapText="1"/>
    </xf>
    <xf numFmtId="0" fontId="90" fillId="0" borderId="0" xfId="132" applyAlignment="1" applyBorder="1" applyFont="1">
      <alignment wrapText="1"/>
    </xf>
    <xf numFmtId="0" fontId="9" fillId="0" borderId="0" xfId="0" applyAlignment="1" applyFont="1"/>
    <xf numFmtId="0" fontId="0" fillId="30" borderId="0" xfId="0" applyFill="1" applyProtection="1">
      <protection hidden="1"/>
    </xf>
    <xf numFmtId="0" fontId="89" fillId="39" borderId="8" xfId="0" applyAlignment="1" applyBorder="1" applyFont="1" applyFill="1" applyProtection="1">
      <alignment vertical="center"/>
      <protection hidden="1"/>
    </xf>
    <xf numFmtId="0" fontId="57" fillId="30" borderId="0" xfId="10" applyBorder="1" applyFont="1" applyFill="1" applyProtection="1">
      <protection hidden="1"/>
    </xf>
    <xf numFmtId="0" fontId="53" fillId="30" borderId="0" xfId="10" applyAlignment="1" applyBorder="1" applyFont="1" applyFill="1" applyProtection="1">
      <alignment horizontal="left"/>
      <protection hidden="1"/>
    </xf>
    <xf numFmtId="0" fontId="54" fillId="39" borderId="5" xfId="10" applyBorder="1" applyFont="1" applyFill="1" applyProtection="1">
      <protection hidden="1"/>
    </xf>
    <xf numFmtId="0" fontId="57" fillId="30" borderId="5" xfId="10" applyAlignment="1" applyBorder="1" applyFont="1" applyFill="1" applyProtection="1">
      <alignment horizontal="center" vertical="top"/>
      <protection hidden="1"/>
    </xf>
    <xf numFmtId="44" fontId="47" fillId="30" borderId="0" xfId="0" applyBorder="1" applyFont="1" applyNumberFormat="1" applyFill="1" applyProtection="1">
      <protection hidden="1"/>
    </xf>
    <xf numFmtId="0" fontId="0" fillId="30" borderId="0" xfId="0" applyBorder="1" applyFill="1" applyProtection="1">
      <protection hidden="1"/>
    </xf>
    <xf numFmtId="0" fontId="17" fillId="40" borderId="7" xfId="22" applyAlignment="1" applyBorder="1" applyFont="1" applyFill="1" applyProtection="1">
      <alignment horizontal="left" vertical="top"/>
      <protection hidden="1"/>
    </xf>
    <xf numFmtId="0" fontId="13" fillId="30" borderId="5" xfId="22" applyAlignment="1" applyBorder="1" applyFont="1" applyFill="1" applyProtection="1">
      <alignment horizontal="left" vertical="top"/>
      <protection hidden="1"/>
    </xf>
    <xf numFmtId="175" fontId="17" fillId="30" borderId="5" xfId="5" applyAlignment="1" applyBorder="1" applyFont="1" applyNumberFormat="1" applyFill="1" applyProtection="1">
      <alignment horizontal="center"/>
      <protection hidden="1"/>
    </xf>
    <xf numFmtId="0" fontId="56" fillId="39" borderId="5" xfId="10" applyAlignment="1" applyBorder="1" applyFont="1" applyFill="1" applyProtection="1">
      <alignment horizontal="left"/>
      <protection hidden="1"/>
    </xf>
    <xf numFmtId="169" fontId="58" fillId="30" borderId="5" xfId="5" applyAlignment="1" applyBorder="1" applyFont="1" applyNumberFormat="1" applyFill="1" applyProtection="1">
      <alignment horizontal="center" vertical="top"/>
      <protection hidden="1"/>
    </xf>
    <xf numFmtId="169" fontId="58" fillId="30" borderId="0" xfId="5" applyAlignment="1" applyBorder="1" applyFont="1" applyNumberFormat="1" applyFill="1" applyProtection="1">
      <alignment horizontal="left"/>
      <protection hidden="1"/>
    </xf>
    <xf numFmtId="0" fontId="13" fillId="40" borderId="5" xfId="22" applyAlignment="1" applyBorder="1" applyFont="1" applyFill="1" applyProtection="1">
      <alignment horizontal="left" vertical="top"/>
      <protection hidden="1"/>
    </xf>
    <xf numFmtId="0" fontId="0" fillId="30" borderId="5" xfId="0" applyBorder="1" applyFill="1" applyProtection="1">
      <protection hidden="1"/>
    </xf>
    <xf numFmtId="4" fontId="17" fillId="30" borderId="5" xfId="22" applyAlignment="1" applyBorder="1" applyFont="1" applyNumberFormat="1" applyFill="1" applyProtection="1">
      <alignment horizontal="right"/>
      <protection hidden="1"/>
    </xf>
    <xf numFmtId="0" fontId="56" fillId="36" borderId="5" xfId="10" applyAlignment="1" applyBorder="1" applyFont="1" applyFill="1" applyProtection="1">
      <alignment horizontal="left"/>
      <protection hidden="1"/>
    </xf>
    <xf numFmtId="169" fontId="58" fillId="36" borderId="5" xfId="5" applyAlignment="1" applyBorder="1" applyFont="1" applyNumberFormat="1" applyFill="1" applyProtection="1">
      <alignment horizontal="center" vertical="top"/>
      <protection hidden="1"/>
    </xf>
    <xf numFmtId="43" fontId="58" fillId="36" borderId="5" xfId="5" applyAlignment="1" applyBorder="1" applyFont="1" applyNumberFormat="1" applyFill="1" applyProtection="1">
      <alignment horizontal="center" vertical="top"/>
      <protection hidden="1"/>
    </xf>
    <xf numFmtId="43" fontId="58" fillId="30" borderId="0" xfId="5" applyAlignment="1" applyBorder="1" applyFont="1" applyNumberFormat="1" applyFill="1" applyProtection="1">
      <alignment horizontal="left"/>
      <protection hidden="1"/>
    </xf>
    <xf numFmtId="175" fontId="13" fillId="30" borderId="5" xfId="5" applyAlignment="1" applyBorder="1" applyFont="1" applyNumberFormat="1" applyFill="1" applyProtection="1">
      <alignment horizontal="right"/>
      <protection hidden="1"/>
    </xf>
    <xf numFmtId="169" fontId="82" fillId="30" borderId="0" xfId="5" applyAlignment="1" applyBorder="1" applyFont="1" applyNumberFormat="1" applyFill="1" applyProtection="1">
      <alignment horizontal="left" vertical="top"/>
      <protection hidden="1"/>
    </xf>
    <xf numFmtId="0" fontId="13" fillId="40" borderId="79" xfId="22" applyAlignment="1" applyBorder="1" applyFont="1" applyFill="1" applyProtection="1">
      <alignment horizontal="left" vertical="top"/>
      <protection hidden="1"/>
    </xf>
    <xf numFmtId="4" fontId="13" fillId="30" borderId="5" xfId="22" applyAlignment="1" applyBorder="1" applyFont="1" applyNumberFormat="1" applyFill="1" applyProtection="1">
      <alignment horizontal="right"/>
      <protection hidden="1"/>
    </xf>
    <xf numFmtId="0" fontId="56" fillId="40" borderId="5" xfId="10" applyAlignment="1" applyBorder="1" applyFont="1" applyFill="1" applyProtection="1">
      <alignment horizontal="left" wrapText="1"/>
      <protection hidden="1"/>
    </xf>
    <xf numFmtId="0" fontId="17" fillId="40" borderId="5" xfId="22" applyAlignment="1" applyBorder="1" applyFont="1" applyFill="1" applyProtection="1">
      <alignment horizontal="left" vertical="top"/>
      <protection hidden="1"/>
    </xf>
    <xf numFmtId="0" fontId="17" fillId="30" borderId="5" xfId="22" applyAlignment="1" applyBorder="1" applyFont="1" applyFill="1" applyProtection="1">
      <alignment horizontal="left" vertical="top"/>
      <protection hidden="1"/>
    </xf>
    <xf numFmtId="0" fontId="13" fillId="40" borderId="7" xfId="0" applyBorder="1" applyFont="1" applyFill="1" applyProtection="1">
      <protection hidden="1"/>
    </xf>
    <xf numFmtId="0" fontId="0" fillId="30" borderId="43" xfId="0" applyBorder="1" applyFill="1" applyProtection="1">
      <protection hidden="1"/>
    </xf>
    <xf numFmtId="0" fontId="0" fillId="30" borderId="44" xfId="0" applyBorder="1" applyFill="1" applyProtection="1">
      <protection hidden="1"/>
    </xf>
    <xf numFmtId="0" fontId="56" fillId="40" borderId="7" xfId="10" applyAlignment="1" applyBorder="1" applyFont="1" applyFill="1" applyProtection="1">
      <alignment horizontal="left" wrapText="1"/>
      <protection hidden="1"/>
    </xf>
    <xf numFmtId="169" fontId="58" fillId="30" borderId="7" xfId="5" applyAlignment="1" applyBorder="1" applyFont="1" applyNumberFormat="1" applyFill="1" applyProtection="1">
      <alignment horizontal="center" vertical="top"/>
      <protection hidden="1"/>
    </xf>
    <xf numFmtId="0" fontId="0" fillId="30" borderId="0" xfId="0" applyAlignment="1" applyFill="1" applyProtection="1">
      <protection hidden="1"/>
    </xf>
    <xf numFmtId="0" fontId="17" fillId="40" borderId="79" xfId="22" applyAlignment="1" applyBorder="1" applyFont="1" applyFill="1" applyProtection="1">
      <alignment horizontal="left" vertical="top"/>
      <protection hidden="1"/>
    </xf>
    <xf numFmtId="0" fontId="17" fillId="30" borderId="0" xfId="22" applyAlignment="1" applyBorder="1" applyFont="1" applyFill="1" applyProtection="1">
      <alignment horizontal="left" vertical="top"/>
      <protection hidden="1"/>
    </xf>
    <xf numFmtId="4" fontId="17" fillId="30" borderId="55" xfId="22" applyAlignment="1" applyBorder="1" applyFont="1" applyNumberFormat="1" applyFill="1" applyProtection="1">
      <alignment horizontal="right"/>
      <protection hidden="1"/>
    </xf>
    <xf numFmtId="0" fontId="97" fillId="40" borderId="8" xfId="10" applyAlignment="1" applyBorder="1" applyFont="1" applyFill="1" applyProtection="1">
      <alignment horizontal="left" wrapText="1"/>
      <protection hidden="1"/>
    </xf>
    <xf numFmtId="172" fontId="90" fillId="36" borderId="8" xfId="0" applyAlignment="1" applyBorder="1" applyFont="1" applyNumberFormat="1" applyFill="1" applyProtection="1">
      <alignment horizontal="center" vertical="top"/>
      <protection hidden="1"/>
    </xf>
    <xf numFmtId="172" fontId="90" fillId="39" borderId="8" xfId="0" applyAlignment="1" applyBorder="1" applyFont="1" applyNumberFormat="1" applyFill="1" applyProtection="1">
      <alignment horizontal="center" vertical="top"/>
      <protection hidden="1"/>
    </xf>
    <xf numFmtId="0" fontId="89" fillId="44" borderId="8" xfId="22" applyAlignment="1" applyBorder="1" applyFont="1" applyFill="1" applyProtection="1">
      <alignment horizontal="left" vertical="top"/>
      <protection hidden="1"/>
    </xf>
    <xf numFmtId="3" fontId="89" fillId="44" borderId="8" xfId="22" applyAlignment="1" applyBorder="1" applyFont="1" applyNumberFormat="1" applyFill="1" applyProtection="1">
      <alignment horizontal="left" vertical="top"/>
      <protection hidden="1"/>
    </xf>
    <xf numFmtId="4" fontId="98" fillId="44" borderId="8" xfId="22" applyAlignment="1" applyBorder="1" applyFont="1" applyNumberFormat="1" applyFill="1" applyProtection="1">
      <alignment horizontal="right"/>
      <protection hidden="1"/>
    </xf>
    <xf numFmtId="0" fontId="0" fillId="0" borderId="0" xfId="0" applyBorder="1" applyProtection="1">
      <protection hidden="1"/>
    </xf>
    <xf numFmtId="0" fontId="0" fillId="30" borderId="0" xfId="0" applyAlignment="1" applyFill="1" applyProtection="1">
      <alignment wrapText="1"/>
      <protection hidden="1"/>
    </xf>
    <xf numFmtId="0" fontId="13" fillId="32" borderId="8" xfId="0" applyBorder="1" applyFont="1" applyFill="1" applyProtection="1">
      <protection hidden="1"/>
    </xf>
    <xf numFmtId="0" fontId="0" fillId="32" borderId="8" xfId="0" applyBorder="1" applyFill="1" applyProtection="1">
      <protection hidden="1"/>
    </xf>
    <xf numFmtId="175" fontId="0" fillId="32" borderId="8" xfId="0" applyBorder="1" applyNumberFormat="1" applyFill="1" applyProtection="1">
      <protection hidden="1"/>
    </xf>
    <xf numFmtId="0" fontId="54" fillId="40" borderId="5" xfId="10" applyBorder="1" applyFont="1" applyFill="1" applyProtection="1">
      <protection hidden="1"/>
    </xf>
    <xf numFmtId="0" fontId="0" fillId="30" borderId="0" xfId="0" applyAlignment="1" applyBorder="1" applyFill="1" applyProtection="1">
      <protection hidden="1"/>
    </xf>
    <xf numFmtId="0" fontId="17" fillId="40" borderId="8" xfId="0" applyBorder="1" applyFont="1" applyFill="1" applyProtection="1">
      <protection hidden="1"/>
    </xf>
    <xf numFmtId="175" fontId="99" fillId="40" borderId="8" xfId="0" applyBorder="1" applyFont="1" applyNumberFormat="1" applyFill="1" applyProtection="1">
      <protection hidden="1"/>
    </xf>
    <xf numFmtId="0" fontId="37" fillId="40" borderId="5" xfId="0" applyAlignment="1" applyBorder="1" applyFont="1" applyFill="1" applyProtection="1">
      <alignment wrapText="1"/>
      <protection hidden="1"/>
    </xf>
    <xf numFmtId="0" fontId="37" fillId="40" borderId="5" xfId="0" applyAlignment="1" applyBorder="1" applyFont="1" applyFill="1" applyProtection="1">
      <alignment horizontal="left" wrapText="1"/>
      <protection hidden="1"/>
    </xf>
    <xf numFmtId="0" fontId="37" fillId="40" borderId="5" xfId="0" applyAlignment="1" applyBorder="1" applyFont="1" applyFill="1" applyProtection="1">
      <alignment horizontal="center" vertical="center" wrapText="1"/>
      <protection hidden="1"/>
    </xf>
    <xf numFmtId="0" fontId="37" fillId="40" borderId="7" xfId="0" applyAlignment="1" applyBorder="1" applyFont="1" applyFill="1" applyProtection="1">
      <alignment horizontal="center" vertical="center" wrapText="1"/>
      <protection hidden="1"/>
    </xf>
    <xf numFmtId="0" fontId="46" fillId="30" borderId="5" xfId="0" applyAlignment="1" applyBorder="1" applyFont="1" applyFill="1" applyProtection="1">
      <alignment horizontal="left" wrapText="1"/>
      <protection hidden="1"/>
    </xf>
    <xf numFmtId="0" fontId="0" fillId="30" borderId="0" xfId="0" applyAlignment="1" applyFill="1" applyProtection="1">
      <alignment horizontal="left" wrapText="1"/>
      <protection hidden="1"/>
    </xf>
    <xf numFmtId="0" fontId="37" fillId="40" borderId="4" xfId="0" applyBorder="1" applyFont="1" applyFill="1" applyProtection="1">
      <protection hidden="1"/>
    </xf>
    <xf numFmtId="0" fontId="0" fillId="45" borderId="5" xfId="0" applyBorder="1" applyFill="1" applyProtection="1">
      <protection hidden="1"/>
    </xf>
    <xf numFmtId="169" fontId="37" fillId="46" borderId="5" xfId="0" applyBorder="1" applyFont="1" applyNumberFormat="1" applyFill="1" applyProtection="1">
      <protection hidden="1"/>
    </xf>
    <xf numFmtId="169" fontId="37" fillId="29" borderId="5" xfId="0" applyBorder="1" applyFont="1" applyNumberFormat="1" applyFill="1" applyProtection="1">
      <protection hidden="1"/>
    </xf>
    <xf numFmtId="169" fontId="37" fillId="47" borderId="5" xfId="0" applyBorder="1" applyFont="1" applyNumberFormat="1" applyFill="1" applyProtection="1">
      <protection hidden="1"/>
    </xf>
    <xf numFmtId="169" fontId="37" fillId="48" borderId="4" xfId="0" applyBorder="1" applyFont="1" applyNumberFormat="1" applyFill="1" applyProtection="1">
      <protection hidden="1"/>
    </xf>
    <xf numFmtId="169" fontId="37" fillId="40" borderId="8" xfId="0" applyBorder="1" applyFont="1" applyNumberFormat="1" applyFill="1" applyProtection="1">
      <protection hidden="1"/>
    </xf>
    <xf numFmtId="169" fontId="0" fillId="30" borderId="5" xfId="0" applyBorder="1" applyNumberFormat="1" applyFill="1" applyProtection="1">
      <protection hidden="1"/>
    </xf>
    <xf numFmtId="0" fontId="0" fillId="40" borderId="0" xfId="0" applyFill="1" applyProtection="1">
      <protection hidden="1"/>
    </xf>
    <xf numFmtId="169" fontId="0" fillId="45" borderId="5" xfId="0" applyBorder="1" applyNumberFormat="1" applyFill="1" applyProtection="1">
      <protection hidden="1"/>
    </xf>
    <xf numFmtId="169" fontId="0" fillId="46" borderId="5" xfId="0" applyBorder="1" applyNumberFormat="1" applyFill="1" applyProtection="1">
      <protection hidden="1"/>
    </xf>
    <xf numFmtId="0" fontId="0" fillId="29" borderId="0" xfId="0" applyFill="1" applyProtection="1">
      <protection hidden="1"/>
    </xf>
    <xf numFmtId="0" fontId="0" fillId="47" borderId="0" xfId="0" applyFill="1" applyProtection="1">
      <protection hidden="1"/>
    </xf>
    <xf numFmtId="0" fontId="0" fillId="48" borderId="4" xfId="0" applyBorder="1" applyFill="1" applyProtection="1">
      <protection hidden="1"/>
    </xf>
    <xf numFmtId="0" fontId="0" fillId="40" borderId="8" xfId="0" applyBorder="1" applyFill="1" applyProtection="1">
      <protection hidden="1"/>
    </xf>
    <xf numFmtId="0" fontId="0" fillId="40" borderId="4" xfId="0" applyAlignment="1" applyBorder="1" applyFill="1" applyProtection="1">
      <alignment horizontal="left"/>
      <protection hidden="1"/>
    </xf>
    <xf numFmtId="0" fontId="0" fillId="30" borderId="5" xfId="0" applyAlignment="1" applyBorder="1" applyFill="1" applyProtection="1">
      <alignment horizontal="left"/>
      <protection hidden="1"/>
    </xf>
    <xf numFmtId="175" fontId="0" fillId="45" borderId="5" xfId="5" applyAlignment="1" applyBorder="1" applyFont="1" applyNumberFormat="1" applyFill="1" applyProtection="1">
      <alignment horizontal="right"/>
      <protection hidden="1"/>
    </xf>
    <xf numFmtId="175" fontId="0" fillId="46" borderId="5" xfId="5" applyAlignment="1" applyBorder="1" applyFont="1" applyNumberFormat="1" applyFill="1" applyProtection="1">
      <alignment horizontal="right"/>
      <protection hidden="1"/>
    </xf>
    <xf numFmtId="175" fontId="0" fillId="29" borderId="5" xfId="5" applyAlignment="1" applyBorder="1" applyFont="1" applyNumberFormat="1" applyFill="1" applyProtection="1">
      <alignment horizontal="right"/>
      <protection hidden="1"/>
    </xf>
    <xf numFmtId="175" fontId="0" fillId="47" borderId="5" xfId="5" applyAlignment="1" applyBorder="1" applyFont="1" applyNumberFormat="1" applyFill="1" applyProtection="1">
      <alignment horizontal="right"/>
      <protection hidden="1"/>
    </xf>
    <xf numFmtId="175" fontId="0" fillId="48" borderId="4" xfId="5" applyAlignment="1" applyBorder="1" applyFont="1" applyNumberFormat="1" applyFill="1" applyProtection="1">
      <alignment horizontal="right"/>
      <protection hidden="1"/>
    </xf>
    <xf numFmtId="175" fontId="0" fillId="40" borderId="8" xfId="5" applyBorder="1" applyFont="1" applyNumberFormat="1" applyFill="1" applyProtection="1">
      <protection hidden="1"/>
    </xf>
    <xf numFmtId="0" fontId="47" fillId="40" borderId="4" xfId="0" applyAlignment="1" applyBorder="1" applyFont="1" applyFill="1" applyProtection="1">
      <alignment horizontal="left"/>
      <protection hidden="1"/>
    </xf>
    <xf numFmtId="0" fontId="47" fillId="30" borderId="5" xfId="0" applyAlignment="1" applyBorder="1" applyFont="1" applyFill="1" applyProtection="1">
      <alignment horizontal="left"/>
      <protection hidden="1"/>
    </xf>
    <xf numFmtId="0" fontId="47" fillId="40" borderId="27" xfId="0" applyAlignment="1" applyBorder="1" applyFont="1" applyFill="1" applyProtection="1">
      <alignment horizontal="left"/>
      <protection hidden="1"/>
    </xf>
    <xf numFmtId="0" fontId="47" fillId="30" borderId="7" xfId="0" applyAlignment="1" applyBorder="1" applyFont="1" applyFill="1" applyProtection="1">
      <alignment horizontal="left"/>
      <protection hidden="1"/>
    </xf>
    <xf numFmtId="175" fontId="0" fillId="45" borderId="7" xfId="5" applyAlignment="1" applyBorder="1" applyFont="1" applyNumberFormat="1" applyFill="1" applyProtection="1">
      <alignment horizontal="right"/>
      <protection hidden="1"/>
    </xf>
    <xf numFmtId="175" fontId="0" fillId="46" borderId="7" xfId="5" applyAlignment="1" applyBorder="1" applyFont="1" applyNumberFormat="1" applyFill="1" applyProtection="1">
      <alignment horizontal="right"/>
      <protection hidden="1"/>
    </xf>
    <xf numFmtId="175" fontId="0" fillId="29" borderId="7" xfId="5" applyAlignment="1" applyBorder="1" applyFont="1" applyNumberFormat="1" applyFill="1" applyProtection="1">
      <alignment horizontal="right"/>
      <protection hidden="1"/>
    </xf>
    <xf numFmtId="175" fontId="37" fillId="47" borderId="7" xfId="5" applyAlignment="1" applyBorder="1" applyFont="1" applyNumberFormat="1" applyFill="1" applyProtection="1">
      <alignment horizontal="right"/>
      <protection hidden="1"/>
    </xf>
    <xf numFmtId="175" fontId="0" fillId="48" borderId="27" xfId="5" applyAlignment="1" applyBorder="1" applyFont="1" applyNumberFormat="1" applyFill="1" applyProtection="1">
      <alignment horizontal="right"/>
      <protection hidden="1"/>
    </xf>
    <xf numFmtId="0" fontId="0" fillId="30" borderId="4" xfId="0" applyBorder="1" applyFill="1" applyProtection="1">
      <protection hidden="1"/>
    </xf>
    <xf numFmtId="0" fontId="0" fillId="30" borderId="25" xfId="0" applyBorder="1" applyFill="1" applyProtection="1">
      <protection hidden="1"/>
    </xf>
    <xf numFmtId="0" fontId="17" fillId="30" borderId="0" xfId="0" applyBorder="1" applyFont="1" applyFill="1" applyProtection="1">
      <protection hidden="1"/>
    </xf>
    <xf numFmtId="175" fontId="79" fillId="30" borderId="25" xfId="5" applyAlignment="1" applyBorder="1" applyFont="1" applyNumberFormat="1" applyFill="1" applyProtection="1">
      <alignment horizontal="right" vertical="top" wrapText="1"/>
      <protection hidden="1"/>
    </xf>
    <xf numFmtId="175" fontId="79" fillId="30" borderId="55" xfId="5" applyAlignment="1" applyBorder="1" applyFont="1" applyNumberFormat="1" applyFill="1" applyProtection="1">
      <alignment horizontal="center" vertical="top" wrapText="1"/>
      <protection hidden="1"/>
    </xf>
    <xf numFmtId="0" fontId="13" fillId="40" borderId="6" xfId="0" applyAlignment="1" applyBorder="1" applyFont="1" applyFill="1" applyProtection="1">
      <alignment wrapText="1"/>
      <protection hidden="1"/>
    </xf>
    <xf numFmtId="175" fontId="0" fillId="45" borderId="54" xfId="5" applyAlignment="1" applyBorder="1" applyFont="1" applyNumberFormat="1" applyFill="1" applyProtection="1">
      <alignment horizontal="right"/>
      <protection hidden="1"/>
    </xf>
    <xf numFmtId="175" fontId="0" fillId="46" borderId="6" xfId="5" applyAlignment="1" applyBorder="1" applyFont="1" applyNumberFormat="1" applyFill="1" applyProtection="1">
      <alignment horizontal="right"/>
      <protection hidden="1"/>
    </xf>
    <xf numFmtId="175" fontId="0" fillId="29" borderId="6" xfId="5" applyAlignment="1" applyBorder="1" applyFont="1" applyNumberFormat="1" applyFill="1" applyProtection="1">
      <alignment horizontal="right"/>
      <protection hidden="1"/>
    </xf>
    <xf numFmtId="175" fontId="0" fillId="47" borderId="6" xfId="5" applyAlignment="1" applyBorder="1" applyFont="1" applyNumberFormat="1" applyFill="1" applyProtection="1">
      <alignment horizontal="right"/>
      <protection hidden="1"/>
    </xf>
    <xf numFmtId="175" fontId="0" fillId="48" borderId="72" xfId="5" applyAlignment="1" applyBorder="1" applyFont="1" applyNumberFormat="1" applyFill="1" applyProtection="1">
      <alignment horizontal="right"/>
      <protection hidden="1"/>
    </xf>
    <xf numFmtId="0" fontId="13" fillId="40" borderId="5" xfId="0" applyBorder="1" applyFont="1" applyFill="1" applyProtection="1">
      <protection hidden="1"/>
    </xf>
    <xf numFmtId="0" fontId="0" fillId="30" borderId="7" xfId="0" applyBorder="1" applyFill="1" applyProtection="1">
      <protection hidden="1"/>
    </xf>
    <xf numFmtId="175" fontId="0" fillId="47" borderId="7" xfId="5" applyAlignment="1" applyBorder="1" applyFont="1" applyNumberFormat="1" applyFill="1" applyProtection="1">
      <alignment horizontal="right"/>
      <protection hidden="1"/>
    </xf>
    <xf numFmtId="175" fontId="0" fillId="40" borderId="80" xfId="5" applyBorder="1" applyFont="1" applyNumberFormat="1" applyFill="1" applyProtection="1">
      <protection hidden="1"/>
    </xf>
    <xf numFmtId="175" fontId="0" fillId="30" borderId="0" xfId="0" applyNumberFormat="1" applyFill="1" applyProtection="1">
      <protection hidden="1"/>
    </xf>
    <xf numFmtId="0" fontId="92" fillId="44" borderId="8" xfId="0" applyBorder="1" applyFont="1" applyFill="1" applyProtection="1">
      <protection hidden="1"/>
    </xf>
    <xf numFmtId="169" fontId="103" fillId="44" borderId="8" xfId="0" applyBorder="1" applyFont="1" applyNumberFormat="1" applyFill="1" applyProtection="1">
      <protection hidden="1"/>
    </xf>
    <xf numFmtId="169" fontId="92" fillId="44" borderId="17" xfId="0" applyBorder="1" applyFont="1" applyNumberFormat="1" applyFill="1" applyProtection="1">
      <protection hidden="1"/>
    </xf>
    <xf numFmtId="169" fontId="38" fillId="30" borderId="0" xfId="0" applyBorder="1" applyFont="1" applyNumberFormat="1" applyFill="1" applyProtection="1">
      <protection hidden="1"/>
    </xf>
    <xf numFmtId="0" fontId="38" fillId="30" borderId="0" xfId="0" applyBorder="1" applyFont="1" applyFill="1" applyProtection="1">
      <protection hidden="1"/>
    </xf>
    <xf numFmtId="0" fontId="47" fillId="30" borderId="0" xfId="0" applyAlignment="1" applyBorder="1" applyFont="1" applyFill="1" applyProtection="1">
      <alignment horizontal="left"/>
      <protection hidden="1"/>
    </xf>
    <xf numFmtId="169" fontId="0" fillId="30" borderId="0" xfId="0" applyBorder="1" applyNumberFormat="1" applyFill="1" applyProtection="1">
      <protection hidden="1"/>
    </xf>
    <xf numFmtId="0" fontId="47" fillId="30" borderId="0" xfId="0" applyAlignment="1" applyBorder="1" applyFont="1" applyFill="1" applyProtection="1">
      <alignment horizontal="left" vertical="top" wrapText="1"/>
      <protection hidden="1"/>
    </xf>
    <xf numFmtId="0" fontId="42" fillId="32" borderId="5" xfId="0" applyBorder="1" applyFont="1" applyFill="1" applyProtection="1">
      <protection hidden="1"/>
    </xf>
    <xf numFmtId="0" fontId="47" fillId="32" borderId="5" xfId="0" applyAlignment="1" applyBorder="1" applyFont="1" applyFill="1" applyProtection="1">
      <alignment horizontal="left"/>
      <protection hidden="1"/>
    </xf>
    <xf numFmtId="175" fontId="0" fillId="32" borderId="5" xfId="5" applyAlignment="1" applyBorder="1" applyFont="1" applyNumberFormat="1" applyFill="1" applyProtection="1">
      <alignment horizontal="right"/>
      <protection hidden="1"/>
    </xf>
    <xf numFmtId="175" fontId="37" fillId="32" borderId="5" xfId="5" applyAlignment="1" applyBorder="1" applyFont="1" applyNumberFormat="1" applyFill="1" applyProtection="1">
      <alignment horizontal="right"/>
      <protection hidden="1"/>
    </xf>
    <xf numFmtId="175" fontId="0" fillId="32" borderId="4" xfId="5" applyAlignment="1" applyBorder="1" applyFont="1" applyNumberFormat="1" applyFill="1" applyProtection="1">
      <alignment horizontal="right"/>
      <protection hidden="1"/>
    </xf>
    <xf numFmtId="175" fontId="0" fillId="32" borderId="8" xfId="5" applyBorder="1" applyFont="1" applyNumberFormat="1" applyFill="1" applyProtection="1">
      <protection hidden="1"/>
    </xf>
    <xf numFmtId="0" fontId="99" fillId="39" borderId="8" xfId="0" applyBorder="1" applyFont="1" applyFill="1" applyProtection="1">
      <protection hidden="1"/>
    </xf>
    <xf numFmtId="0" fontId="100" fillId="39" borderId="8" xfId="0" applyBorder="1" applyFont="1" applyFill="1" applyProtection="1">
      <protection hidden="1"/>
    </xf>
    <xf numFmtId="0" fontId="101" fillId="30" borderId="0" xfId="0" applyBorder="1" applyFont="1" applyFill="1" applyProtection="1">
      <protection hidden="1"/>
    </xf>
    <xf numFmtId="175" fontId="102" fillId="39" borderId="8" xfId="5" applyBorder="1" applyFont="1" applyNumberFormat="1" applyFill="1" applyProtection="1">
      <protection hidden="1"/>
    </xf>
    <xf numFmtId="175" fontId="102" fillId="30" borderId="8" xfId="5" applyBorder="1" applyFont="1" applyNumberFormat="1" applyFill="1" applyProtection="1">
      <protection hidden="1"/>
    </xf>
    <xf numFmtId="0" fontId="15" fillId="39" borderId="5" xfId="0" applyBorder="1" applyFont="1" applyFill="1" applyProtection="1">
      <protection hidden="1"/>
    </xf>
    <xf numFmtId="0" fontId="83" fillId="49" borderId="5" xfId="0" applyAlignment="1" applyBorder="1" applyFont="1" applyFill="1" applyProtection="1">
      <alignment horizontal="center" vertical="center"/>
      <protection hidden="1"/>
    </xf>
    <xf numFmtId="169" fontId="38" fillId="0" borderId="0" xfId="0" applyBorder="1" applyFont="1" applyNumberFormat="1" applyFill="1" applyProtection="1">
      <protection hidden="1"/>
    </xf>
    <xf numFmtId="169" fontId="0" fillId="0" borderId="0" xfId="0" applyBorder="1" applyNumberFormat="1" applyFill="1" applyProtection="1">
      <protection hidden="1"/>
    </xf>
    <xf numFmtId="0" fontId="7" fillId="7" borderId="5" xfId="0" applyAlignment="1" applyBorder="1" applyFont="1" applyFill="1" applyProtection="1">
      <alignment horizontal="center" vertical="center" wrapText="1"/>
      <protection hidden="1"/>
    </xf>
    <xf numFmtId="0" fontId="5" fillId="7" borderId="5" xfId="0" applyAlignment="1" applyBorder="1" applyFont="1" applyFill="1" applyProtection="1">
      <alignment horizontal="center" vertical="center" wrapText="1"/>
      <protection hidden="1"/>
    </xf>
    <xf numFmtId="0" fontId="5" fillId="0" borderId="5" xfId="0" applyAlignment="1" applyBorder="1" applyFont="1" applyProtection="1">
      <alignment horizontal="center" vertical="center"/>
      <protection hidden="1"/>
    </xf>
    <xf numFmtId="0" fontId="3" fillId="7" borderId="5" xfId="0" applyAlignment="1" applyBorder="1" applyFont="1" applyFill="1" applyProtection="1">
      <alignment vertical="top" wrapText="1"/>
      <protection hidden="1"/>
    </xf>
    <xf numFmtId="0" fontId="90" fillId="0" borderId="8" xfId="132" applyAlignment="1" applyBorder="1" applyFont="1" applyProtection="1">
      <alignment wrapText="1"/>
      <protection hidden="1"/>
    </xf>
    <xf numFmtId="0" fontId="1" fillId="0" borderId="0" xfId="132" applyAlignment="1" applyFont="1" applyProtection="1">
      <alignment vertical="center" wrapText="1"/>
      <protection hidden="1"/>
    </xf>
    <xf numFmtId="0" fontId="1" fillId="0" borderId="0" xfId="132" applyAlignment="1" applyFont="1" applyProtection="1">
      <alignment horizontal="left" vertical="center" wrapText="1"/>
      <protection hidden="1"/>
    </xf>
    <xf numFmtId="7" fontId="3" fillId="6" borderId="5" xfId="0" applyAlignment="1" applyBorder="1" applyFont="1" applyNumberFormat="1" applyFill="1" applyProtection="1">
      <alignment horizontal="center" vertical="center" wrapText="1"/>
      <protection hidden="1" locked="0"/>
    </xf>
    <xf numFmtId="0" fontId="1" fillId="0" borderId="0" xfId="132" applyAlignment="1" applyFont="1" applyProtection="1">
      <alignment wrapText="1"/>
      <protection locked="0"/>
    </xf>
    <xf numFmtId="0" fontId="1" fillId="0" borderId="0" xfId="132" applyFont="1" applyProtection="1">
      <protection locked="0"/>
    </xf>
    <xf numFmtId="0" fontId="37" fillId="0" borderId="8" xfId="132" applyAlignment="1" applyBorder="1" applyFont="1" applyProtection="1">
      <alignment vertical="center" wrapText="1"/>
      <protection locked="0"/>
    </xf>
    <xf numFmtId="0" fontId="37" fillId="0" borderId="17" xfId="132" applyAlignment="1" applyBorder="1" applyFont="1" applyProtection="1">
      <alignment vertical="center" wrapText="1"/>
      <protection locked="0"/>
    </xf>
    <xf numFmtId="0" fontId="5" fillId="0" borderId="8" xfId="0" applyBorder="1" applyFont="1" applyProtection="1">
      <protection locked="0"/>
    </xf>
    <xf numFmtId="0" fontId="3" fillId="0" borderId="8" xfId="0" applyBorder="1" applyFont="1" applyProtection="1">
      <protection locked="0"/>
    </xf>
    <xf numFmtId="0" fontId="1" fillId="0" borderId="81" xfId="132" applyAlignment="1" applyBorder="1" applyFont="1" applyProtection="1">
      <alignment vertical="center" wrapText="1"/>
      <protection locked="0"/>
    </xf>
    <xf numFmtId="0" fontId="1" fillId="0" borderId="13" xfId="132" applyAlignment="1" applyBorder="1" applyFont="1" applyProtection="1">
      <alignment vertical="center" wrapText="1"/>
      <protection locked="0"/>
    </xf>
    <xf numFmtId="0" fontId="3" fillId="0" borderId="80" xfId="0" applyBorder="1" applyFont="1" applyProtection="1">
      <protection locked="0"/>
    </xf>
    <xf numFmtId="0" fontId="3" fillId="0" borderId="81" xfId="0" applyBorder="1" applyFont="1" applyProtection="1">
      <protection locked="0"/>
    </xf>
    <xf numFmtId="0" fontId="1" fillId="0" borderId="82" xfId="132" applyAlignment="1" applyBorder="1" applyFont="1" applyProtection="1">
      <alignment vertical="center" wrapText="1"/>
      <protection locked="0"/>
    </xf>
    <xf numFmtId="0" fontId="1" fillId="0" borderId="23" xfId="132" applyAlignment="1" applyBorder="1" applyFont="1" applyProtection="1">
      <alignment vertical="top" wrapText="1"/>
      <protection locked="0"/>
    </xf>
    <xf numFmtId="0" fontId="3" fillId="0" borderId="82" xfId="0" applyBorder="1" applyFont="1" applyProtection="1">
      <protection locked="0"/>
    </xf>
    <xf numFmtId="0" fontId="1" fillId="0" borderId="23" xfId="132" applyAlignment="1" applyBorder="1" applyFont="1" applyProtection="1">
      <alignment vertical="center" wrapText="1"/>
      <protection locked="0"/>
    </xf>
    <xf numFmtId="43" fontId="1" fillId="0" borderId="23" xfId="133" applyAlignment="1" applyBorder="1" applyFont="1" applyNumberFormat="1" applyProtection="1">
      <alignment vertical="center" wrapText="1"/>
      <protection locked="0"/>
    </xf>
    <xf numFmtId="43" fontId="3" fillId="6" borderId="5" xfId="0" applyAlignment="1" applyBorder="1" applyFont="1" applyNumberFormat="1" applyFill="1" applyProtection="1">
      <alignment horizontal="center" vertical="center" wrapText="1"/>
      <protection hidden="1"/>
    </xf>
    <xf numFmtId="0" fontId="5" fillId="39" borderId="7" xfId="0" applyAlignment="1" applyBorder="1" applyFont="1" applyFill="1" applyProtection="1">
      <alignment horizontal="left" vertical="top" wrapText="1"/>
      <protection locked="0"/>
    </xf>
    <xf numFmtId="0" fontId="0" fillId="37" borderId="7" xfId="0" applyAlignment="1" applyBorder="1" applyNumberFormat="1" applyFill="1" applyProtection="1">
      <alignment horizontal="left" vertical="top" wrapText="1"/>
      <protection locked="0"/>
    </xf>
    <xf numFmtId="0" fontId="5" fillId="30" borderId="0" xfId="0" applyAlignment="1" applyBorder="1" applyFont="1" applyFill="1" applyProtection="1">
      <alignment horizontal="left" vertical="top" wrapText="1"/>
      <protection locked="0"/>
    </xf>
    <xf numFmtId="0" fontId="0" fillId="30" borderId="0" xfId="0" applyAlignment="1" applyBorder="1" applyNumberFormat="1" applyFill="1" applyProtection="1">
      <alignment horizontal="left" vertical="top" wrapText="1"/>
      <protection locked="0"/>
    </xf>
    <xf numFmtId="0" fontId="72" fillId="30" borderId="83" xfId="11" applyAlignment="1" applyBorder="1" applyFont="1" applyFill="1" applyProtection="1">
      <alignment horizontal="left" vertical="top" wrapText="1"/>
      <protection locked="0"/>
    </xf>
    <xf numFmtId="0" fontId="8" fillId="32" borderId="73" xfId="0" applyAlignment="1" applyBorder="1" applyFont="1" applyFill="1" applyProtection="1">
      <alignment horizontal="left" vertical="top" wrapText="1"/>
      <protection hidden="1"/>
    </xf>
    <xf numFmtId="0" fontId="8" fillId="30" borderId="0" xfId="0" applyAlignment="1" applyBorder="1" applyFont="1" applyFill="1" applyProtection="1">
      <alignment horizontal="left" vertical="top" wrapText="1"/>
      <protection hidden="1"/>
    </xf>
    <xf numFmtId="0" fontId="72" fillId="30" borderId="0" xfId="11" applyAlignment="1" applyBorder="1" applyFont="1" applyFill="1" applyProtection="1">
      <alignment horizontal="left" vertical="top" wrapText="1"/>
      <protection locked="0"/>
    </xf>
    <xf numFmtId="0" fontId="78" fillId="30" borderId="0" xfId="0" applyBorder="1" applyFont="1" applyFill="1" applyProtection="1">
      <protection locked="0"/>
    </xf>
    <xf numFmtId="0" fontId="48" fillId="30" borderId="0" xfId="74" applyBorder="1" applyFont="1" applyFill="1" applyProtection="1">
      <protection locked="0"/>
    </xf>
    <xf numFmtId="0" fontId="7" fillId="0" borderId="5" xfId="0" applyAlignment="1" applyBorder="1" applyFont="1" applyFill="1">
      <alignment horizontal="center" vertical="top"/>
    </xf>
    <xf numFmtId="0" fontId="6" fillId="0" borderId="5" xfId="0" applyAlignment="1" applyBorder="1" applyFont="1" applyNumberFormat="1" applyFill="1" applyProtection="1">
      <alignment horizontal="center" vertical="top"/>
      <protection locked="0"/>
    </xf>
    <xf numFmtId="0" fontId="6" fillId="0" borderId="5" xfId="0" applyAlignment="1" applyBorder="1" applyFont="1" applyNumberFormat="1" applyFill="1" applyProtection="1">
      <alignment horizontal="center" vertical="center"/>
      <protection locked="0"/>
    </xf>
    <xf numFmtId="0" fontId="0" fillId="0" borderId="0" xfId="0" applyFill="1" applyProtection="1">
      <protection locked="0"/>
    </xf>
    <xf numFmtId="0" fontId="7" fillId="0" borderId="6" xfId="0" applyAlignment="1" applyBorder="1" applyFont="1" applyFill="1">
      <alignment horizontal="center" vertical="center" wrapText="1"/>
    </xf>
    <xf numFmtId="8" fontId="6" fillId="0" borderId="5" xfId="0" applyAlignment="1" applyBorder="1" applyFont="1" applyNumberFormat="1" applyFill="1" applyProtection="1">
      <alignment horizontal="center" vertical="center"/>
      <protection locked="0"/>
    </xf>
    <xf numFmtId="0" fontId="13" fillId="40" borderId="4" xfId="0" applyAlignment="1" applyBorder="1" applyFont="1" applyFill="1" applyProtection="1">
      <alignment horizontal="left"/>
      <protection hidden="1"/>
    </xf>
    <xf numFmtId="0" fontId="13" fillId="50" borderId="5" xfId="0" applyAlignment="1" applyBorder="1" applyFont="1" applyFill="1" applyProtection="1">
      <alignment horizontal="left" vertical="top" wrapText="1"/>
      <protection locked="0"/>
    </xf>
    <xf numFmtId="0" fontId="0" fillId="28" borderId="5" xfId="0" applyAlignment="1" applyBorder="1" applyFill="1">
      <alignment horizontal="center" vertical="center"/>
    </xf>
    <xf numFmtId="0" fontId="0" fillId="38" borderId="5" xfId="0" applyAlignment="1" applyBorder="1" applyFill="1">
      <alignment horizontal="center" vertical="center"/>
    </xf>
    <xf numFmtId="0" fontId="0" fillId="51" borderId="5" xfId="0" applyAlignment="1" applyBorder="1" applyFill="1" applyProtection="1">
      <alignment horizontal="center" vertical="center"/>
      <protection locked="0"/>
    </xf>
    <xf numFmtId="0" fontId="0" fillId="52" borderId="5" xfId="0" applyAlignment="1" applyBorder="1" applyFill="1" applyProtection="1">
      <alignment horizontal="center" vertical="center"/>
      <protection locked="0"/>
    </xf>
    <xf numFmtId="0" fontId="13" fillId="30" borderId="84" xfId="0" applyBorder="1" applyFont="1" applyFill="1" applyProtection="1">
      <protection hidden="1"/>
    </xf>
    <xf numFmtId="0" fontId="0" fillId="30" borderId="85" xfId="0" applyBorder="1" applyFill="1" applyProtection="1">
      <protection hidden="1"/>
    </xf>
    <xf numFmtId="0" fontId="17" fillId="39" borderId="8" xfId="0" applyAlignment="1" applyBorder="1" applyFont="1" applyFill="1" applyProtection="1">
      <alignment vertical="center"/>
      <protection hidden="1"/>
    </xf>
    <xf numFmtId="0" fontId="3" fillId="32" borderId="0" xfId="0" applyFont="1" applyFill="1"/>
    <xf numFmtId="0" fontId="48" fillId="32" borderId="0" xfId="132" applyFont="1" applyFill="1"/>
    <xf numFmtId="0" fontId="96" fillId="32" borderId="0" xfId="0" applyFont="1" applyFill="1"/>
    <xf numFmtId="0" fontId="3" fillId="0" borderId="5" xfId="0" applyAlignment="1" applyBorder="1" applyFont="1" applyFill="1" applyProtection="1">
      <alignment vertical="center" wrapText="1"/>
      <protection hidden="1"/>
    </xf>
    <xf numFmtId="0" fontId="78" fillId="32" borderId="0" xfId="0" applyAlignment="1" applyBorder="1" applyFont="1" applyFill="1">
      <alignment horizontal="left" vertical="top"/>
    </xf>
    <xf numFmtId="0" fontId="78" fillId="32" borderId="0" xfId="0" applyBorder="1" applyFont="1" applyFill="1"/>
    <xf numFmtId="0" fontId="74" fillId="30" borderId="21" xfId="0" applyAlignment="1" applyBorder="1" applyFont="1" applyFill="1">
      <alignment horizontal="left" vertical="top" wrapText="1"/>
    </xf>
    <xf numFmtId="0" fontId="48" fillId="30" borderId="0" xfId="74" applyAlignment="1" applyBorder="1" applyFont="1" applyFill="1" applyProtection="1">
      <alignment wrapText="1"/>
      <protection locked="0"/>
    </xf>
    <xf numFmtId="0" fontId="48" fillId="30" borderId="0" xfId="74" applyAlignment="1" applyFont="1" applyFill="1" applyProtection="1">
      <alignment vertical="top" wrapText="1"/>
      <protection locked="0"/>
    </xf>
    <xf numFmtId="0" fontId="38" fillId="0" borderId="0" xfId="1" applyAlignment="1" applyBorder="1" applyFont="1" applyFill="1" applyProtection="1">
      <alignment vertical="center" wrapText="1"/>
      <protection locked="0"/>
    </xf>
    <xf numFmtId="176" fontId="90" fillId="0" borderId="8" xfId="132" applyBorder="1" applyFont="1" applyNumberFormat="1" applyProtection="1">
      <protection hidden="1"/>
    </xf>
    <xf numFmtId="176" fontId="110" fillId="0" borderId="5" xfId="0" applyAlignment="1" applyBorder="1" applyFont="1" applyNumberFormat="1">
      <alignment horizontal="center"/>
    </xf>
    <xf numFmtId="0" fontId="110" fillId="53" borderId="5" xfId="0" applyAlignment="1" applyBorder="1" applyFont="1" applyFill="1">
      <alignment horizontal="center" vertical="center" wrapText="1"/>
    </xf>
    <xf numFmtId="0" fontId="110" fillId="0" borderId="5" xfId="0" applyAlignment="1" applyBorder="1" applyFont="1">
      <alignment horizontal="center"/>
    </xf>
    <xf numFmtId="176" fontId="110" fillId="0" borderId="5" xfId="0" applyAlignment="1" applyBorder="1" applyFont="1" applyNumberFormat="1">
      <alignment horizontal="center" wrapText="1"/>
    </xf>
    <xf numFmtId="0" fontId="3" fillId="32" borderId="5" xfId="0" applyAlignment="1" applyBorder="1" applyFont="1" applyFill="1" applyProtection="1">
      <alignment wrapText="1"/>
      <protection locked="0"/>
    </xf>
    <xf numFmtId="0" fontId="3" fillId="0" borderId="5" xfId="0" applyAlignment="1" applyBorder="1" applyFont="1" applyFill="1" applyProtection="1">
      <alignment vertical="center" wrapText="1"/>
      <protection locked="0"/>
    </xf>
    <xf numFmtId="0" fontId="93" fillId="32" borderId="5" xfId="11" applyAlignment="1" applyBorder="1" applyFont="1" applyFill="1" applyProtection="1">
      <alignment horizontal="left" vertical="top" wrapText="1"/>
      <protection locked="0"/>
    </xf>
    <xf numFmtId="0" fontId="94" fillId="32" borderId="5" xfId="11" applyAlignment="1" applyBorder="1" applyFont="1" applyFill="1" applyProtection="1">
      <alignment horizontal="left" vertical="top" wrapText="1"/>
      <protection locked="0"/>
    </xf>
    <xf numFmtId="0" fontId="13" fillId="32" borderId="0" xfId="0" applyBorder="1" applyFont="1" applyFill="1" applyProtection="1">
      <protection locked="0"/>
    </xf>
    <xf numFmtId="0" fontId="0" fillId="32" borderId="0" xfId="0" applyBorder="1" applyFill="1" applyProtection="1">
      <protection locked="0"/>
    </xf>
    <xf numFmtId="0" fontId="78" fillId="39" borderId="5" xfId="0" applyAlignment="1" applyBorder="1" applyFont="1" applyFill="1">
      <alignment horizontal="center" vertical="top"/>
    </xf>
    <xf numFmtId="0" fontId="17" fillId="39" borderId="5" xfId="0" applyAlignment="1" applyBorder="1" applyFont="1" applyFill="1">
      <alignment horizontal="center" vertical="top"/>
    </xf>
    <xf numFmtId="0" fontId="48" fillId="30" borderId="53" xfId="0" applyAlignment="1" applyBorder="1" applyFont="1" applyFill="1">
      <alignment horizontal="left" vertical="top"/>
    </xf>
    <xf numFmtId="0" fontId="0" fillId="30" borderId="71" xfId="0" applyAlignment="1" applyBorder="1" applyFill="1">
      <alignment horizontal="center" wrapText="1"/>
    </xf>
    <xf numFmtId="0" fontId="108" fillId="30" borderId="53" xfId="0" applyAlignment="1" applyBorder="1" applyFont="1" applyFill="1">
      <alignment horizontal="center" vertical="top"/>
    </xf>
    <xf numFmtId="0" fontId="63" fillId="30" borderId="4" xfId="0" applyAlignment="1" applyBorder="1" applyFont="1" applyFill="1" applyProtection="1">
      <alignment horizontal="center"/>
      <protection hidden="1"/>
    </xf>
    <xf numFmtId="0" fontId="63" fillId="30" borderId="24" xfId="0" applyAlignment="1" applyBorder="1" applyFont="1" applyFill="1" applyProtection="1">
      <alignment horizontal="center"/>
      <protection hidden="1"/>
    </xf>
    <xf numFmtId="0" fontId="13" fillId="30" borderId="27" xfId="0" applyAlignment="1" applyBorder="1" applyFont="1" applyFill="1" applyProtection="1">
      <alignment horizontal="left" vertical="top"/>
    </xf>
    <xf numFmtId="0" fontId="0" fillId="30" borderId="43" xfId="0" applyAlignment="1" applyBorder="1" applyFill="1" applyProtection="1">
      <alignment horizontal="left" vertical="top"/>
    </xf>
    <xf numFmtId="0" fontId="0" fillId="30" borderId="44" xfId="0" applyAlignment="1" applyBorder="1" applyFill="1" applyProtection="1">
      <alignment horizontal="left" vertical="top"/>
    </xf>
    <xf numFmtId="0" fontId="0" fillId="30" borderId="71" xfId="0" applyAlignment="1" applyBorder="1" applyFill="1" applyProtection="1">
      <alignment horizontal="left" vertical="top"/>
    </xf>
    <xf numFmtId="0" fontId="0" fillId="30" borderId="0" xfId="0" applyAlignment="1" applyBorder="1" applyFill="1" applyProtection="1">
      <alignment horizontal="left" vertical="top"/>
    </xf>
    <xf numFmtId="0" fontId="0" fillId="30" borderId="55" xfId="0" applyAlignment="1" applyBorder="1" applyFill="1" applyProtection="1">
      <alignment horizontal="left" vertical="top"/>
    </xf>
    <xf numFmtId="0" fontId="0" fillId="30" borderId="72" xfId="0" applyAlignment="1" applyBorder="1" applyFill="1" applyProtection="1">
      <alignment horizontal="left" vertical="top"/>
    </xf>
    <xf numFmtId="0" fontId="0" fillId="30" borderId="53" xfId="0" applyAlignment="1" applyBorder="1" applyFill="1" applyProtection="1">
      <alignment horizontal="left" vertical="top"/>
    </xf>
    <xf numFmtId="0" fontId="0" fillId="30" borderId="54" xfId="0" applyAlignment="1" applyBorder="1" applyFill="1" applyProtection="1">
      <alignment horizontal="left" vertical="top"/>
    </xf>
    <xf numFmtId="175" fontId="98" fillId="39" borderId="86" xfId="0" applyAlignment="1" applyBorder="1" applyFont="1" applyNumberFormat="1" applyFill="1" applyProtection="1">
      <alignment horizontal="center" vertical="center"/>
      <protection hidden="1"/>
    </xf>
    <xf numFmtId="7" fontId="98" fillId="39" borderId="87" xfId="0" applyAlignment="1" applyBorder="1" applyFont="1" applyNumberFormat="1" applyFill="1" applyProtection="1">
      <alignment horizontal="center" vertical="center"/>
      <protection hidden="1"/>
    </xf>
    <xf numFmtId="169" fontId="82" fillId="30" borderId="71" xfId="5" applyAlignment="1" applyBorder="1" applyFont="1" applyNumberFormat="1" applyFill="1" applyProtection="1">
      <alignment horizontal="left" vertical="top" wrapText="1"/>
      <protection hidden="1"/>
    </xf>
    <xf numFmtId="169" fontId="82" fillId="30" borderId="0" xfId="5" applyAlignment="1" applyBorder="1" applyFont="1" applyNumberFormat="1" applyFill="1" applyProtection="1">
      <alignment horizontal="left" vertical="top" wrapText="1"/>
      <protection hidden="1"/>
    </xf>
    <xf numFmtId="0" fontId="79" fillId="29" borderId="88" xfId="19" applyAlignment="1" applyBorder="1" applyFont="1" applyFill="1" applyProtection="1">
      <alignment horizontal="left" vertical="center" wrapText="1"/>
      <protection locked="0"/>
    </xf>
    <xf numFmtId="0" fontId="79" fillId="29" borderId="0" xfId="19" applyAlignment="1" applyBorder="1" applyFont="1" applyFill="1" applyProtection="1">
      <alignment horizontal="left" vertical="center" wrapText="1"/>
      <protection locked="0"/>
    </xf>
    <xf numFmtId="0" fontId="86" fillId="34" borderId="76" xfId="19" applyAlignment="1" applyBorder="1" applyFont="1" applyFill="1" applyProtection="1">
      <alignment horizontal="center" vertical="top" wrapText="1"/>
      <protection locked="0"/>
    </xf>
    <xf numFmtId="0" fontId="86" fillId="34" borderId="70" xfId="19" applyAlignment="1" applyBorder="1" applyFont="1" applyFill="1" applyProtection="1">
      <alignment horizontal="center" vertical="top" wrapText="1"/>
      <protection locked="0"/>
    </xf>
    <xf numFmtId="0" fontId="79" fillId="29" borderId="89" xfId="19" applyAlignment="1" applyBorder="1" applyFont="1" applyFill="1" applyProtection="1">
      <alignment horizontal="center" vertical="top" wrapText="1"/>
      <protection locked="0"/>
    </xf>
    <xf numFmtId="0" fontId="79" fillId="29" borderId="90" xfId="19" applyAlignment="1" applyBorder="1" applyFont="1" applyFill="1" applyProtection="1">
      <alignment horizontal="center" vertical="top" wrapText="1"/>
      <protection locked="0"/>
    </xf>
    <xf numFmtId="0" fontId="86" fillId="34" borderId="50" xfId="19" applyAlignment="1" applyBorder="1" applyFont="1" applyFill="1" applyProtection="1">
      <alignment horizontal="center" vertical="top" wrapText="1"/>
      <protection locked="0"/>
    </xf>
    <xf numFmtId="0" fontId="86" fillId="34" borderId="57" xfId="19" applyAlignment="1" applyBorder="1" applyFont="1" applyFill="1" applyProtection="1">
      <alignment horizontal="center" vertical="top" wrapText="1"/>
      <protection locked="0"/>
    </xf>
    <xf numFmtId="0" fontId="48" fillId="30" borderId="53" xfId="74" applyAlignment="1" applyBorder="1" applyFont="1" applyFill="1" applyProtection="1">
      <alignment horizontal="center" vertical="top" wrapText="1"/>
      <protection locked="0"/>
    </xf>
    <xf numFmtId="0" fontId="3" fillId="54" borderId="5" xfId="0" applyAlignment="1" applyBorder="1" applyFont="1" applyFill="1" applyProtection="1">
      <alignment horizontal="center" vertical="center"/>
      <protection locked="0"/>
    </xf>
    <xf numFmtId="0" fontId="5" fillId="0" borderId="15" xfId="0" applyAlignment="1" applyBorder="1" applyFont="1" applyProtection="1">
      <alignment horizontal="center"/>
      <protection hidden="1"/>
    </xf>
    <xf numFmtId="0" fontId="5" fillId="0" borderId="17" xfId="0" applyAlignment="1" applyBorder="1" applyFont="1" applyProtection="1">
      <alignment horizontal="center"/>
      <protection hidden="1"/>
    </xf>
    <xf numFmtId="0" fontId="104" fillId="0" borderId="0" xfId="327" applyAlignment="1" applyFont="1" applyProtection="1">
      <alignment horizontal="left" vertical="center"/>
      <protection hidden="1"/>
    </xf>
    <xf numFmtId="0" fontId="107" fillId="0" borderId="0" xfId="12" applyAlignment="1" applyFont="1" applyProtection="1">
      <alignment horizontal="left" vertical="center"/>
      <protection hidden="1"/>
    </xf>
    <xf numFmtId="0" fontId="15" fillId="0" borderId="15" xfId="0" applyAlignment="1" applyBorder="1" applyFont="1" applyProtection="1">
      <alignment horizontal="center" vertical="center" wrapText="1"/>
      <protection hidden="1"/>
    </xf>
    <xf numFmtId="0" fontId="15" fillId="0" borderId="16" xfId="0" applyAlignment="1" applyBorder="1" applyFont="1" applyProtection="1">
      <alignment horizontal="center" vertical="center" wrapText="1"/>
      <protection hidden="1"/>
    </xf>
    <xf numFmtId="0" fontId="15" fillId="0" borderId="17" xfId="0" applyAlignment="1" applyBorder="1" applyFont="1" applyProtection="1">
      <alignment horizontal="center" vertical="center" wrapText="1"/>
      <protection hidden="1"/>
    </xf>
    <xf numFmtId="0" fontId="5" fillId="0" borderId="15" xfId="0" applyAlignment="1" applyBorder="1" applyFont="1">
      <alignment horizontal="center"/>
    </xf>
    <xf numFmtId="0" fontId="5" fillId="0" borderId="17" xfId="0" applyAlignment="1" applyBorder="1" applyFont="1">
      <alignment horizontal="center"/>
    </xf>
    <xf numFmtId="0" fontId="37" fillId="0" borderId="15" xfId="132" applyAlignment="1" applyBorder="1" applyFont="1" applyProtection="1">
      <alignment vertical="center" wrapText="1"/>
      <protection locked="0"/>
    </xf>
    <xf numFmtId="0" fontId="1" fillId="0" borderId="15" xfId="132" applyAlignment="1" applyBorder="1" applyFont="1" applyProtection="1">
      <alignment vertical="center" wrapText="1"/>
      <protection locked="0"/>
    </xf>
    <xf numFmtId="0" fontId="1" fillId="0" borderId="16" xfId="132" applyAlignment="1" applyBorder="1" applyFont="1" applyProtection="1">
      <alignment vertical="center" wrapText="1"/>
      <protection locked="0"/>
    </xf>
    <xf numFmtId="0" fontId="1" fillId="0" borderId="17" xfId="132" applyAlignment="1" applyBorder="1" applyFont="1" applyProtection="1">
      <alignment vertical="center" wrapText="1"/>
      <protection locked="0"/>
    </xf>
    <xf numFmtId="43" fontId="1" fillId="0" borderId="20" xfId="133" applyAlignment="1" applyBorder="1" applyFont="1" applyNumberFormat="1" applyProtection="1">
      <alignment vertical="center" wrapText="1"/>
      <protection locked="0"/>
    </xf>
    <xf numFmtId="43" fontId="1" fillId="0" borderId="12" xfId="133" applyAlignment="1" applyBorder="1" applyFont="1" applyNumberFormat="1" applyProtection="1">
      <alignment vertical="center" wrapText="1"/>
      <protection locked="0"/>
    </xf>
    <xf numFmtId="43" fontId="1" fillId="0" borderId="21" xfId="133" applyAlignment="1" applyBorder="1" applyFont="1" applyNumberFormat="1" applyProtection="1">
      <alignment vertical="center" wrapText="1"/>
      <protection locked="0"/>
    </xf>
    <xf numFmtId="43" fontId="1" fillId="0" borderId="13" xfId="133" applyAlignment="1" applyBorder="1" applyFont="1" applyNumberFormat="1" applyProtection="1">
      <alignment vertical="center" wrapText="1"/>
      <protection locked="0"/>
    </xf>
    <xf numFmtId="43" fontId="1" fillId="0" borderId="22" xfId="133" applyAlignment="1" applyBorder="1" applyFont="1" applyNumberFormat="1" applyProtection="1">
      <alignment vertical="center" wrapText="1"/>
      <protection locked="0"/>
    </xf>
    <xf numFmtId="0" fontId="1" fillId="0" borderId="80" xfId="132" applyAlignment="1" applyBorder="1" applyFont="1" applyProtection="1">
      <alignment vertical="center" wrapText="1"/>
      <protection locked="0"/>
    </xf>
    <xf numFmtId="0" fontId="96" fillId="0" borderId="18" xfId="0" applyAlignment="1" applyBorder="1" applyFont="1" applyProtection="1">
      <alignment horizontal="center" vertical="top" wrapText="1"/>
      <protection hidden="1"/>
    </xf>
    <xf numFmtId="0" fontId="83" fillId="55" borderId="0" xfId="0" applyAlignment="1" applyFont="1" applyFill="1" applyProtection="1">
      <alignment horizontal="center" vertical="center" wrapText="1"/>
      <protection hidden="1"/>
    </xf>
    <xf numFmtId="0" fontId="1" fillId="0" borderId="20" xfId="132" applyAlignment="1" applyBorder="1" applyFont="1" applyProtection="1">
      <alignment vertical="center" wrapText="1"/>
      <protection locked="0"/>
    </xf>
    <xf numFmtId="0" fontId="1" fillId="0" borderId="12" xfId="132" applyAlignment="1" applyBorder="1" applyFont="1" applyProtection="1">
      <alignment vertical="center" wrapText="1"/>
      <protection locked="0"/>
    </xf>
    <xf numFmtId="0" fontId="1" fillId="0" borderId="22" xfId="132" applyAlignment="1" applyBorder="1" applyFont="1" applyProtection="1">
      <alignment vertical="center" wrapText="1"/>
      <protection locked="0"/>
    </xf>
    <xf numFmtId="43" fontId="1" fillId="0" borderId="80" xfId="133" applyAlignment="1" applyBorder="1" applyFont="1" applyNumberFormat="1" applyProtection="1">
      <alignment vertical="center" wrapText="1"/>
      <protection locked="0"/>
    </xf>
    <xf numFmtId="43" fontId="1" fillId="0" borderId="82" xfId="133" applyAlignment="1" applyBorder="1" applyFont="1" applyNumberFormat="1" applyProtection="1">
      <alignment vertical="center" wrapText="1"/>
      <protection locked="0"/>
    </xf>
    <xf numFmtId="0" fontId="1" fillId="0" borderId="21" xfId="132" applyAlignment="1" applyBorder="1" applyFont="1" applyProtection="1">
      <alignment vertical="center" wrapText="1"/>
      <protection locked="0"/>
    </xf>
    <xf numFmtId="43" fontId="1" fillId="0" borderId="81" xfId="133" applyAlignment="1" applyBorder="1" applyFont="1" applyNumberFormat="1" applyProtection="1">
      <alignment vertical="center" wrapText="1"/>
      <protection locked="0"/>
    </xf>
  </cellXfs>
  <cellStyles count="329">
    <cellStyle name="c170a89c3e_5" xfId="131"/>
    <cellStyle name="Comma" xfId="5"/>
    <cellStyle name="Comma [0]" xfId="16"/>
    <cellStyle name="Comma [0] 2" xfId="127"/>
    <cellStyle name="Comma 10" xfId="185"/>
    <cellStyle name="Comma 10 15" xfId="21"/>
    <cellStyle name="Comma 2" xfId="2"/>
    <cellStyle name="Comma 2 2" xfId="76"/>
    <cellStyle name="Comma 3" xfId="8"/>
    <cellStyle name="Comma 3 2" xfId="126"/>
    <cellStyle name="Comma 3 2 2" xfId="238"/>
    <cellStyle name="Comma 3 2 3" xfId="325"/>
    <cellStyle name="Comma 3 3" xfId="81"/>
    <cellStyle name="Comma 3 3 2" xfId="193"/>
    <cellStyle name="Comma 3 3 3" xfId="280"/>
    <cellStyle name="Comma 3 4" xfId="138"/>
    <cellStyle name="Comma 3 5" xfId="183"/>
    <cellStyle name="Comma 4" xfId="6"/>
    <cellStyle name="Comma 5" xfId="23"/>
    <cellStyle name="Comma 6" xfId="29"/>
    <cellStyle name="Comma 6 2" xfId="84"/>
    <cellStyle name="Comma 6 2 2" xfId="196"/>
    <cellStyle name="Comma 6 2 3" xfId="283"/>
    <cellStyle name="Comma 6 3" xfId="146"/>
    <cellStyle name="Comma 6 4" xfId="189"/>
    <cellStyle name="Comma 7" xfId="133"/>
    <cellStyle name="Comma 8" xfId="136"/>
    <cellStyle name="Comma 9" xfId="186"/>
    <cellStyle name="Currency" xfId="17"/>
    <cellStyle name="Currency [0]" xfId="18"/>
    <cellStyle name="Currency [0] 2" xfId="129"/>
    <cellStyle name="Currency 2" xfId="9"/>
    <cellStyle name="Currency 2 2" xfId="30"/>
    <cellStyle name="Currency 2 2 2" xfId="85"/>
    <cellStyle name="Currency 2 2 2 2" xfId="197"/>
    <cellStyle name="Currency 2 2 2 3" xfId="284"/>
    <cellStyle name="Currency 2 2 3" xfId="147"/>
    <cellStyle name="Currency 2 2 4" xfId="135"/>
    <cellStyle name="Currency 3" xfId="31"/>
    <cellStyle name="Currency 4" xfId="128"/>
    <cellStyle name="Currency 5" xfId="142"/>
    <cellStyle name="Currency 6" xfId="134"/>
    <cellStyle name="Currency 7" xfId="139"/>
    <cellStyle name="Currency 8" xfId="328"/>
    <cellStyle name="Explanatory Text 2" xfId="24"/>
    <cellStyle name="Hyperlink" xfId="11" builtinId="8"/>
    <cellStyle name="Hyperlink 2" xfId="12"/>
    <cellStyle name="Hyperlink 2 2" xfId="77"/>
    <cellStyle name="Hyperlink 3" xfId="25"/>
    <cellStyle name="Normal" xfId="0" builtinId="0"/>
    <cellStyle name="Normal 10" xfId="20"/>
    <cellStyle name="Normal 10 12" xfId="22"/>
    <cellStyle name="Normal 10 2" xfId="80"/>
    <cellStyle name="Normal 10 2 2" xfId="192"/>
    <cellStyle name="Normal 10 2 3" xfId="279"/>
    <cellStyle name="Normal 10 3" xfId="143"/>
    <cellStyle name="Normal 10 4" xfId="140"/>
    <cellStyle name="Normal 11" xfId="327"/>
    <cellStyle name="Normal 2" xfId="1"/>
    <cellStyle name="Normal 2 10" xfId="32"/>
    <cellStyle name="Normal 2 10 2" xfId="86"/>
    <cellStyle name="Normal 2 10 2 2" xfId="198"/>
    <cellStyle name="Normal 2 10 2 3" xfId="285"/>
    <cellStyle name="Normal 2 10 3" xfId="148"/>
    <cellStyle name="Normal 2 10 4" xfId="239"/>
    <cellStyle name="Normal 2 11" xfId="33"/>
    <cellStyle name="Normal 2 11 2" xfId="87"/>
    <cellStyle name="Normal 2 11 2 2" xfId="199"/>
    <cellStyle name="Normal 2 11 2 3" xfId="286"/>
    <cellStyle name="Normal 2 11 3" xfId="149"/>
    <cellStyle name="Normal 2 11 4" xfId="141"/>
    <cellStyle name="Normal 2 12" xfId="34"/>
    <cellStyle name="Normal 2 12 2" xfId="88"/>
    <cellStyle name="Normal 2 12 2 2" xfId="200"/>
    <cellStyle name="Normal 2 12 2 3" xfId="287"/>
    <cellStyle name="Normal 2 12 3" xfId="150"/>
    <cellStyle name="Normal 2 12 4" xfId="241"/>
    <cellStyle name="Normal 2 2" xfId="10"/>
    <cellStyle name="Normal 2 2 2" xfId="13"/>
    <cellStyle name="Normal 2 3" xfId="14"/>
    <cellStyle name="Normal 2 3 10" xfId="35"/>
    <cellStyle name="Normal 2 3 10 2" xfId="89"/>
    <cellStyle name="Normal 2 3 10 2 2" xfId="201"/>
    <cellStyle name="Normal 2 3 10 2 3" xfId="288"/>
    <cellStyle name="Normal 2 3 10 3" xfId="151"/>
    <cellStyle name="Normal 2 3 10 4" xfId="242"/>
    <cellStyle name="Normal 2 3 2" xfId="36"/>
    <cellStyle name="Normal 2 3 2 2" xfId="37"/>
    <cellStyle name="Normal 2 3 2 2 2" xfId="91"/>
    <cellStyle name="Normal 2 3 2 2 2 2" xfId="203"/>
    <cellStyle name="Normal 2 3 2 2 2 3" xfId="290"/>
    <cellStyle name="Normal 2 3 2 2 3" xfId="153"/>
    <cellStyle name="Normal 2 3 2 2 4" xfId="244"/>
    <cellStyle name="Normal 2 3 2 3" xfId="90"/>
    <cellStyle name="Normal 2 3 2 3 2" xfId="202"/>
    <cellStyle name="Normal 2 3 2 3 3" xfId="289"/>
    <cellStyle name="Normal 2 3 2 4" xfId="152"/>
    <cellStyle name="Normal 2 3 2 5" xfId="243"/>
    <cellStyle name="Normal 2 3 3" xfId="38"/>
    <cellStyle name="Normal 2 3 3 2" xfId="39"/>
    <cellStyle name="Normal 2 3 3 2 2" xfId="93"/>
    <cellStyle name="Normal 2 3 3 2 2 2" xfId="205"/>
    <cellStyle name="Normal 2 3 3 2 2 3" xfId="292"/>
    <cellStyle name="Normal 2 3 3 2 3" xfId="155"/>
    <cellStyle name="Normal 2 3 3 2 4" xfId="246"/>
    <cellStyle name="Normal 2 3 3 3" xfId="92"/>
    <cellStyle name="Normal 2 3 3 3 2" xfId="204"/>
    <cellStyle name="Normal 2 3 3 3 3" xfId="291"/>
    <cellStyle name="Normal 2 3 3 4" xfId="154"/>
    <cellStyle name="Normal 2 3 3 5" xfId="245"/>
    <cellStyle name="Normal 2 3 4" xfId="40"/>
    <cellStyle name="Normal 2 3 4 2" xfId="41"/>
    <cellStyle name="Normal 2 3 4 2 2" xfId="95"/>
    <cellStyle name="Normal 2 3 4 2 2 2" xfId="207"/>
    <cellStyle name="Normal 2 3 4 2 2 3" xfId="294"/>
    <cellStyle name="Normal 2 3 4 2 3" xfId="157"/>
    <cellStyle name="Normal 2 3 4 2 4" xfId="248"/>
    <cellStyle name="Normal 2 3 4 3" xfId="94"/>
    <cellStyle name="Normal 2 3 4 3 2" xfId="206"/>
    <cellStyle name="Normal 2 3 4 3 3" xfId="293"/>
    <cellStyle name="Normal 2 3 4 4" xfId="156"/>
    <cellStyle name="Normal 2 3 4 5" xfId="247"/>
    <cellStyle name="Normal 2 3 5" xfId="42"/>
    <cellStyle name="Normal 2 3 5 2" xfId="43"/>
    <cellStyle name="Normal 2 3 5 2 2" xfId="97"/>
    <cellStyle name="Normal 2 3 5 2 2 2" xfId="209"/>
    <cellStyle name="Normal 2 3 5 2 2 3" xfId="296"/>
    <cellStyle name="Normal 2 3 5 2 3" xfId="159"/>
    <cellStyle name="Normal 2 3 5 2 4" xfId="250"/>
    <cellStyle name="Normal 2 3 5 3" xfId="96"/>
    <cellStyle name="Normal 2 3 5 3 2" xfId="208"/>
    <cellStyle name="Normal 2 3 5 3 3" xfId="295"/>
    <cellStyle name="Normal 2 3 5 4" xfId="158"/>
    <cellStyle name="Normal 2 3 5 5" xfId="249"/>
    <cellStyle name="Normal 2 3 6" xfId="44"/>
    <cellStyle name="Normal 2 3 6 2" xfId="45"/>
    <cellStyle name="Normal 2 3 6 2 2" xfId="99"/>
    <cellStyle name="Normal 2 3 6 2 2 2" xfId="211"/>
    <cellStyle name="Normal 2 3 6 2 2 3" xfId="298"/>
    <cellStyle name="Normal 2 3 6 2 3" xfId="161"/>
    <cellStyle name="Normal 2 3 6 2 4" xfId="252"/>
    <cellStyle name="Normal 2 3 6 3" xfId="98"/>
    <cellStyle name="Normal 2 3 6 3 2" xfId="210"/>
    <cellStyle name="Normal 2 3 6 3 3" xfId="297"/>
    <cellStyle name="Normal 2 3 6 4" xfId="160"/>
    <cellStyle name="Normal 2 3 6 5" xfId="251"/>
    <cellStyle name="Normal 2 3 7" xfId="46"/>
    <cellStyle name="Normal 2 3 7 2" xfId="47"/>
    <cellStyle name="Normal 2 3 7 2 2" xfId="101"/>
    <cellStyle name="Normal 2 3 7 2 2 2" xfId="213"/>
    <cellStyle name="Normal 2 3 7 2 2 3" xfId="300"/>
    <cellStyle name="Normal 2 3 7 2 3" xfId="163"/>
    <cellStyle name="Normal 2 3 7 2 4" xfId="254"/>
    <cellStyle name="Normal 2 3 7 3" xfId="100"/>
    <cellStyle name="Normal 2 3 7 3 2" xfId="212"/>
    <cellStyle name="Normal 2 3 7 3 3" xfId="299"/>
    <cellStyle name="Normal 2 3 7 4" xfId="162"/>
    <cellStyle name="Normal 2 3 7 5" xfId="253"/>
    <cellStyle name="Normal 2 3 8" xfId="48"/>
    <cellStyle name="Normal 2 3 8 2" xfId="102"/>
    <cellStyle name="Normal 2 3 8 2 2" xfId="214"/>
    <cellStyle name="Normal 2 3 8 2 3" xfId="301"/>
    <cellStyle name="Normal 2 3 8 3" xfId="164"/>
    <cellStyle name="Normal 2 3 8 4" xfId="255"/>
    <cellStyle name="Normal 2 3 9" xfId="49"/>
    <cellStyle name="Normal 2 3 9 2" xfId="103"/>
    <cellStyle name="Normal 2 3 9 2 2" xfId="215"/>
    <cellStyle name="Normal 2 3 9 2 3" xfId="302"/>
    <cellStyle name="Normal 2 3 9 3" xfId="165"/>
    <cellStyle name="Normal 2 3 9 4" xfId="256"/>
    <cellStyle name="Normal 2 4" xfId="50"/>
    <cellStyle name="Normal 2 4 2" xfId="51"/>
    <cellStyle name="Normal 2 4 2 2" xfId="52"/>
    <cellStyle name="Normal 2 4 2 2 2" xfId="106"/>
    <cellStyle name="Normal 2 4 2 2 2 2" xfId="218"/>
    <cellStyle name="Normal 2 4 2 2 2 3" xfId="305"/>
    <cellStyle name="Normal 2 4 2 2 3" xfId="168"/>
    <cellStyle name="Normal 2 4 2 2 4" xfId="259"/>
    <cellStyle name="Normal 2 4 2 3" xfId="105"/>
    <cellStyle name="Normal 2 4 2 3 2" xfId="217"/>
    <cellStyle name="Normal 2 4 2 3 3" xfId="304"/>
    <cellStyle name="Normal 2 4 2 4" xfId="167"/>
    <cellStyle name="Normal 2 4 2 5" xfId="258"/>
    <cellStyle name="Normal 2 4 3" xfId="53"/>
    <cellStyle name="Normal 2 4 3 2" xfId="107"/>
    <cellStyle name="Normal 2 4 3 2 2" xfId="219"/>
    <cellStyle name="Normal 2 4 3 2 3" xfId="306"/>
    <cellStyle name="Normal 2 4 3 3" xfId="169"/>
    <cellStyle name="Normal 2 4 3 4" xfId="260"/>
    <cellStyle name="Normal 2 4 4" xfId="54"/>
    <cellStyle name="Normal 2 4 4 2" xfId="108"/>
    <cellStyle name="Normal 2 4 4 2 2" xfId="220"/>
    <cellStyle name="Normal 2 4 4 2 3" xfId="307"/>
    <cellStyle name="Normal 2 4 4 3" xfId="170"/>
    <cellStyle name="Normal 2 4 4 4" xfId="261"/>
    <cellStyle name="Normal 2 4 5" xfId="55"/>
    <cellStyle name="Normal 2 4 6" xfId="104"/>
    <cellStyle name="Normal 2 4 6 2" xfId="216"/>
    <cellStyle name="Normal 2 4 6 3" xfId="303"/>
    <cellStyle name="Normal 2 4 7" xfId="166"/>
    <cellStyle name="Normal 2 4 8" xfId="257"/>
    <cellStyle name="Normal 2 5" xfId="56"/>
    <cellStyle name="Normal 2 5 2" xfId="57"/>
    <cellStyle name="Normal 2 5 2 2" xfId="58"/>
    <cellStyle name="Normal 2 5 2 2 2" xfId="111"/>
    <cellStyle name="Normal 2 5 2 2 2 2" xfId="223"/>
    <cellStyle name="Normal 2 5 2 2 2 3" xfId="310"/>
    <cellStyle name="Normal 2 5 2 2 3" xfId="173"/>
    <cellStyle name="Normal 2 5 2 2 4" xfId="264"/>
    <cellStyle name="Normal 2 5 2 3" xfId="110"/>
    <cellStyle name="Normal 2 5 2 3 2" xfId="222"/>
    <cellStyle name="Normal 2 5 2 3 3" xfId="309"/>
    <cellStyle name="Normal 2 5 2 4" xfId="172"/>
    <cellStyle name="Normal 2 5 2 5" xfId="263"/>
    <cellStyle name="Normal 2 5 3" xfId="59"/>
    <cellStyle name="Normal 2 5 3 2" xfId="112"/>
    <cellStyle name="Normal 2 5 3 2 2" xfId="224"/>
    <cellStyle name="Normal 2 5 3 2 3" xfId="311"/>
    <cellStyle name="Normal 2 5 3 3" xfId="174"/>
    <cellStyle name="Normal 2 5 3 4" xfId="265"/>
    <cellStyle name="Normal 2 5 4" xfId="109"/>
    <cellStyle name="Normal 2 5 4 2" xfId="221"/>
    <cellStyle name="Normal 2 5 4 3" xfId="308"/>
    <cellStyle name="Normal 2 5 5" xfId="171"/>
    <cellStyle name="Normal 2 5 6" xfId="262"/>
    <cellStyle name="Normal 2 6" xfId="60"/>
    <cellStyle name="Normal 2 6 2" xfId="61"/>
    <cellStyle name="Normal 2 6 2 2" xfId="114"/>
    <cellStyle name="Normal 2 6 2 2 2" xfId="226"/>
    <cellStyle name="Normal 2 6 2 2 3" xfId="313"/>
    <cellStyle name="Normal 2 6 2 3" xfId="176"/>
    <cellStyle name="Normal 2 6 2 4" xfId="267"/>
    <cellStyle name="Normal 2 6 3" xfId="113"/>
    <cellStyle name="Normal 2 6 3 2" xfId="225"/>
    <cellStyle name="Normal 2 6 3 3" xfId="312"/>
    <cellStyle name="Normal 2 6 4" xfId="175"/>
    <cellStyle name="Normal 2 6 5" xfId="266"/>
    <cellStyle name="Normal 2 7" xfId="62"/>
    <cellStyle name="Normal 2 7 2" xfId="63"/>
    <cellStyle name="Normal 2 7 2 2" xfId="116"/>
    <cellStyle name="Normal 2 7 2 2 2" xfId="228"/>
    <cellStyle name="Normal 2 7 2 2 3" xfId="315"/>
    <cellStyle name="Normal 2 7 2 3" xfId="178"/>
    <cellStyle name="Normal 2 7 2 4" xfId="269"/>
    <cellStyle name="Normal 2 7 3" xfId="115"/>
    <cellStyle name="Normal 2 7 3 2" xfId="227"/>
    <cellStyle name="Normal 2 7 3 3" xfId="314"/>
    <cellStyle name="Normal 2 7 4" xfId="177"/>
    <cellStyle name="Normal 2 7 5" xfId="268"/>
    <cellStyle name="Normal 2 8" xfId="64"/>
    <cellStyle name="Normal 2 8 2" xfId="65"/>
    <cellStyle name="Normal 2 8 2 2" xfId="118"/>
    <cellStyle name="Normal 2 8 2 2 2" xfId="230"/>
    <cellStyle name="Normal 2 8 2 2 3" xfId="317"/>
    <cellStyle name="Normal 2 8 2 3" xfId="180"/>
    <cellStyle name="Normal 2 8 2 4" xfId="271"/>
    <cellStyle name="Normal 2 8 3" xfId="117"/>
    <cellStyle name="Normal 2 8 3 2" xfId="229"/>
    <cellStyle name="Normal 2 8 3 3" xfId="316"/>
    <cellStyle name="Normal 2 8 4" xfId="179"/>
    <cellStyle name="Normal 2 8 5" xfId="270"/>
    <cellStyle name="Normal 2 9" xfId="66"/>
    <cellStyle name="Normal 2 9 2" xfId="67"/>
    <cellStyle name="Normal 2 9 2 2" xfId="120"/>
    <cellStyle name="Normal 2 9 2 2 2" xfId="232"/>
    <cellStyle name="Normal 2 9 2 2 3" xfId="319"/>
    <cellStyle name="Normal 2 9 2 3" xfId="182"/>
    <cellStyle name="Normal 2 9 2 4" xfId="273"/>
    <cellStyle name="Normal 2 9 3" xfId="119"/>
    <cellStyle name="Normal 2 9 3 2" xfId="231"/>
    <cellStyle name="Normal 2 9 3 3" xfId="318"/>
    <cellStyle name="Normal 2 9 4" xfId="181"/>
    <cellStyle name="Normal 2 9 5" xfId="272"/>
    <cellStyle name="Normal 23" xfId="26"/>
    <cellStyle name="Normal 23 2" xfId="82"/>
    <cellStyle name="Normal 23 2 2" xfId="194"/>
    <cellStyle name="Normal 23 2 3" xfId="281"/>
    <cellStyle name="Normal 23 3" xfId="144"/>
    <cellStyle name="Normal 23 4" xfId="240"/>
    <cellStyle name="Normal 3" xfId="4"/>
    <cellStyle name="Normal 3 2" xfId="15"/>
    <cellStyle name="Normal 3 2 2" xfId="68"/>
    <cellStyle name="Normal 3 2 3" xfId="69"/>
    <cellStyle name="Normal 3 2 3 2" xfId="121"/>
    <cellStyle name="Normal 3 2 3 2 2" xfId="233"/>
    <cellStyle name="Normal 3 2 3 2 3" xfId="320"/>
    <cellStyle name="Normal 3 2 3 3" xfId="184"/>
    <cellStyle name="Normal 3 2 3 4" xfId="274"/>
    <cellStyle name="Normal 4" xfId="27"/>
    <cellStyle name="Normal 4 2" xfId="70"/>
    <cellStyle name="Normal 5" xfId="28"/>
    <cellStyle name="Normal 5 2" xfId="83"/>
    <cellStyle name="Normal 5 2 2" xfId="195"/>
    <cellStyle name="Normal 5 2 3" xfId="282"/>
    <cellStyle name="Normal 5 3" xfId="145"/>
    <cellStyle name="Normal 5 4" xfId="137"/>
    <cellStyle name="Normal 6" xfId="74"/>
    <cellStyle name="Normal 6 2" xfId="122"/>
    <cellStyle name="Normal 6 2 2" xfId="234"/>
    <cellStyle name="Normal 6 2 3" xfId="321"/>
    <cellStyle name="Normal 6 3" xfId="187"/>
    <cellStyle name="Normal 6 4" xfId="275"/>
    <cellStyle name="Normal 7" xfId="71"/>
    <cellStyle name="Normal 8" xfId="78"/>
    <cellStyle name="Normal 8 2" xfId="124"/>
    <cellStyle name="Normal 8 2 2" xfId="236"/>
    <cellStyle name="Normal 8 2 3" xfId="323"/>
    <cellStyle name="Normal 8 3" xfId="190"/>
    <cellStyle name="Normal 8 4" xfId="277"/>
    <cellStyle name="Normal 9" xfId="132"/>
    <cellStyle name="Note 2" xfId="75"/>
    <cellStyle name="Note 2 2" xfId="123"/>
    <cellStyle name="Note 2 2 2" xfId="235"/>
    <cellStyle name="Note 2 2 3" xfId="322"/>
    <cellStyle name="Note 2 3" xfId="188"/>
    <cellStyle name="Note 2 4" xfId="276"/>
    <cellStyle name="Note 3" xfId="79"/>
    <cellStyle name="Note 3 2" xfId="125"/>
    <cellStyle name="Note 3 2 2" xfId="237"/>
    <cellStyle name="Note 3 2 3" xfId="324"/>
    <cellStyle name="Note 3 3" xfId="191"/>
    <cellStyle name="Note 3 4" xfId="278"/>
    <cellStyle name="OBI_ColHeader" xfId="130"/>
    <cellStyle name="Output" xfId="19" builtinId="21"/>
    <cellStyle name="Percent 2" xfId="3"/>
    <cellStyle name="Percent 3" xfId="7"/>
    <cellStyle name="Percent 3 2" xfId="326"/>
    <cellStyle name="Percent 4" xfId="72"/>
    <cellStyle name="Percent 5" xfId="73"/>
  </cellStyles>
  <dxfs>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1" defaultTableStyle="TableStyleMedium2" defaultPivotStyle="PivotStyleLight16">
    <tableStyle name="Table Style 1" pivot="0" count="0"/>
  </tableStyles>
</styleSheet>
</file>

<file path=xl/_rels/workbook.xml.rels><?xml version="1.0" encoding="utf-8" standalone="yes"?><Relationships xmlns="http://schemas.openxmlformats.org/package/2006/relationships"><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externalLink" Target="/xl/externalLinks/externalLink2.xml" /><Relationship Id="rId2" Type="http://schemas.openxmlformats.org/officeDocument/2006/relationships/worksheet" Target="worksheets/sheet2.xml" /><Relationship Id="rId20" Type="http://schemas.openxmlformats.org/officeDocument/2006/relationships/worksheet" Target="worksheets/sheet20.xml" /><Relationship Id="rId34" Type="http://schemas.openxmlformats.org/officeDocument/2006/relationships/styles" Target="styles.xml" /><Relationship Id="rId6" Type="http://schemas.openxmlformats.org/officeDocument/2006/relationships/worksheet" Target="worksheets/sheet6.xml" /><Relationship Id="rId11" Type="http://schemas.openxmlformats.org/officeDocument/2006/relationships/worksheet" Target="worksheets/sheet11.xml" /><Relationship Id="rId16" Type="http://schemas.openxmlformats.org/officeDocument/2006/relationships/worksheet" Target="worksheets/sheet16.xml" /><Relationship Id="rId24" Type="http://schemas.openxmlformats.org/officeDocument/2006/relationships/externalLink" Target="/xl/externalLinks/externalLink1.xml" /><Relationship Id="rId33" Type="http://schemas.openxmlformats.org/officeDocument/2006/relationships/theme" Target="theme/theme1.xml" /><Relationship Id="rId1" Type="http://schemas.openxmlformats.org/officeDocument/2006/relationships/worksheet" Target="worksheets/sheet1.xml" /><Relationship Id="rId15" Type="http://schemas.openxmlformats.org/officeDocument/2006/relationships/worksheet" Target="worksheets/sheet15.xml" /><Relationship Id="rId19" Type="http://schemas.openxmlformats.org/officeDocument/2006/relationships/worksheet" Target="worksheets/sheet19.xml" /><Relationship Id="rId28" Type="http://schemas.openxmlformats.org/officeDocument/2006/relationships/externalLink" Target="/xl/externalLinks/externalLink5.xml" /><Relationship Id="rId5" Type="http://schemas.openxmlformats.org/officeDocument/2006/relationships/worksheet" Target="worksheets/sheet5.xml" /><Relationship Id="rId10" Type="http://schemas.openxmlformats.org/officeDocument/2006/relationships/worksheet" Target="worksheets/sheet10.xml" /><Relationship Id="rId23" Type="http://schemas.openxmlformats.org/officeDocument/2006/relationships/worksheet" Target="worksheets/sheet23.xml" /><Relationship Id="rId31" Type="http://schemas.openxmlformats.org/officeDocument/2006/relationships/externalLink" Target="/xl/externalLinks/externalLink8.xml" /><Relationship Id="rId4" Type="http://schemas.openxmlformats.org/officeDocument/2006/relationships/worksheet" Target="worksheets/sheet4.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externalLink" Target="/xl/externalLinks/externalLink4.xml" /><Relationship Id="rId32" Type="http://schemas.openxmlformats.org/officeDocument/2006/relationships/externalLink" Target="/xl/externalLinks/externalLink9.xml" /><Relationship Id="rId9" Type="http://schemas.openxmlformats.org/officeDocument/2006/relationships/worksheet" Target="worksheets/sheet9.xml" /><Relationship Id="rId18" Type="http://schemas.openxmlformats.org/officeDocument/2006/relationships/worksheet" Target="worksheets/sheet18.xml" /><Relationship Id="rId30" Type="http://schemas.openxmlformats.org/officeDocument/2006/relationships/externalLink" Target="/xl/externalLinks/externalLink7.xml" /><Relationship Id="rId3" Type="http://schemas.openxmlformats.org/officeDocument/2006/relationships/worksheet" Target="worksheets/sheet3.xml" /><Relationship Id="rId8" Type="http://schemas.openxmlformats.org/officeDocument/2006/relationships/worksheet" Target="worksheets/sheet8.xml" /><Relationship Id="rId13" Type="http://schemas.openxmlformats.org/officeDocument/2006/relationships/worksheet" Target="worksheets/sheet13.xml" /><Relationship Id="rId21" Type="http://schemas.openxmlformats.org/officeDocument/2006/relationships/worksheet" Target="worksheets/sheet21.xml" /><Relationship Id="rId26" Type="http://schemas.openxmlformats.org/officeDocument/2006/relationships/externalLink" Target="/xl/externalLinks/externalLink3.xml" /><Relationship Id="rId29" Type="http://schemas.openxmlformats.org/officeDocument/2006/relationships/externalLink" Target="/xl/externalLinks/externalLink6.xml" /><Relationship Id="rId35" Type="http://schemas.openxmlformats.org/officeDocument/2006/relationships/sharedStrings" Target="sharedStrings.xml" /><Relationship Id="rId7" Type="http://schemas.openxmlformats.org/officeDocument/2006/relationships/worksheet" Target="worksheets/sheet7.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37951</xdr:colOff>
      <xdr:row>59</xdr:row>
      <xdr:rowOff>95250</xdr:rowOff>
    </xdr:from>
    <xdr:to>
      <xdr:col>6</xdr:col>
      <xdr:colOff>361355</xdr:colOff>
      <xdr:row>70</xdr:row>
      <xdr:rowOff>57150</xdr:rowOff>
    </xdr:to>
    <xdr:pic macro="">
      <xdr:nvPicPr>
        <xdr:cNvPr id="2" name="Picture 1">
          <a:extLst xmlns:a="http://schemas.openxmlformats.org/drawingml/2006/main">
            <a:ext uri="{FF2B5EF4-FFF2-40B4-BE49-F238E27FC236}">
              <a16:creationId xmlns:a16="http://schemas.microsoft.com/office/drawing/2014/main" id="{00000000-0008-0000-1400-000002000000}"/>
            </a:ext>
          </a:extLst>
        </xdr:cNvPr>
        <xdr:cNvPicPr>
          <a:picLocks noChangeAspect="1"/>
        </xdr:cNvPicPr>
      </xdr:nvPicPr>
      <xdr:blipFill>
        <a:blip xmlns:d5p1="http://schemas.openxmlformats.org/officeDocument/2006/relationships" d5p1:embed="rId1">
          <a:extLst/>
        </a:blip>
        <a:srcRect xmlns:a="http://schemas.openxmlformats.org/drawingml/2006/main"/>
        <a:stretch>
          <a:fillRect/>
        </a:stretch>
      </xdr:blipFill>
      <xdr:spPr>
        <a:xfrm>
          <a:off x="38100" y="9705975"/>
          <a:ext cx="5200000" cy="520000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11</xdr:row>
          <xdr:rowOff>145732</xdr:rowOff>
        </xdr:from>
        <xdr:to>
          <xdr:col>1</xdr:col>
          <xdr:colOff>342900</xdr:colOff>
          <xdr:row>13</xdr:row>
          <xdr:rowOff>19050</xdr:rowOff>
        </xdr:to>
        <xdr:sp xmlns:xdr="http://schemas.openxmlformats.org/drawingml/2006/spreadsheetDrawing" macro="" textlink="">
          <xdr:nvSpPr>
            <xdr:cNvPr id="8193" name="Check Box 1" hidden="1">
              <a:extLst xmlns:a="http://schemas.openxmlformats.org/drawingml/2006/main">
                <a:ext uri="{63B3BB69-23CF-44E3-9099-C40C66FF867C}">
                  <a14:compatExt xmlns:a14="http://schemas.microsoft.com/office/drawing/2010/main" spid="_x0000_s8193"/>
                </a:ext>
                <a:ext uri="{FF2B5EF4-FFF2-40B4-BE49-F238E27FC236}">
                  <a16:creationId xmlns:a16="http://schemas.microsoft.com/office/drawing/2014/main" id="{00000000-0008-0000-1500-000001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13</xdr:row>
          <xdr:rowOff>145732</xdr:rowOff>
        </xdr:from>
        <xdr:to>
          <xdr:col>1</xdr:col>
          <xdr:colOff>342900</xdr:colOff>
          <xdr:row>15</xdr:row>
          <xdr:rowOff>19050</xdr:rowOff>
        </xdr:to>
        <xdr:sp xmlns:xdr="http://schemas.openxmlformats.org/drawingml/2006/spreadsheetDrawing" macro="" textlink="">
          <xdr:nvSpPr>
            <xdr:cNvPr id="8194" name="Check Box 2" hidden="1">
              <a:extLst xmlns:a="http://schemas.openxmlformats.org/drawingml/2006/main">
                <a:ext uri="{63B3BB69-23CF-44E3-9099-C40C66FF867C}">
                  <a14:compatExt xmlns:a14="http://schemas.microsoft.com/office/drawing/2010/main" spid="_x0000_s8194"/>
                </a:ext>
                <a:ext uri="{FF2B5EF4-FFF2-40B4-BE49-F238E27FC236}">
                  <a16:creationId xmlns:a16="http://schemas.microsoft.com/office/drawing/2014/main" id="{00000000-0008-0000-1500-000002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15</xdr:row>
          <xdr:rowOff>145732</xdr:rowOff>
        </xdr:from>
        <xdr:to>
          <xdr:col>1</xdr:col>
          <xdr:colOff>342900</xdr:colOff>
          <xdr:row>17</xdr:row>
          <xdr:rowOff>19050</xdr:rowOff>
        </xdr:to>
        <xdr:sp xmlns:xdr="http://schemas.openxmlformats.org/drawingml/2006/spreadsheetDrawing" macro="" textlink="">
          <xdr:nvSpPr>
            <xdr:cNvPr id="8195" name="Check Box 3" hidden="1">
              <a:extLst xmlns:a="http://schemas.openxmlformats.org/drawingml/2006/main">
                <a:ext uri="{63B3BB69-23CF-44E3-9099-C40C66FF867C}">
                  <a14:compatExt xmlns:a14="http://schemas.microsoft.com/office/drawing/2010/main" spid="_x0000_s8195"/>
                </a:ext>
                <a:ext uri="{FF2B5EF4-FFF2-40B4-BE49-F238E27FC236}">
                  <a16:creationId xmlns:a16="http://schemas.microsoft.com/office/drawing/2014/main" id="{00000000-0008-0000-1500-000003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17</xdr:row>
          <xdr:rowOff>145732</xdr:rowOff>
        </xdr:from>
        <xdr:to>
          <xdr:col>1</xdr:col>
          <xdr:colOff>342900</xdr:colOff>
          <xdr:row>19</xdr:row>
          <xdr:rowOff>19050</xdr:rowOff>
        </xdr:to>
        <xdr:sp xmlns:xdr="http://schemas.openxmlformats.org/drawingml/2006/spreadsheetDrawing" macro="" textlink="">
          <xdr:nvSpPr>
            <xdr:cNvPr id="8196" name="Check Box 4" hidden="1">
              <a:extLst xmlns:a="http://schemas.openxmlformats.org/drawingml/2006/main">
                <a:ext uri="{63B3BB69-23CF-44E3-9099-C40C66FF867C}">
                  <a14:compatExt xmlns:a14="http://schemas.microsoft.com/office/drawing/2010/main" spid="_x0000_s8196"/>
                </a:ext>
                <a:ext uri="{FF2B5EF4-FFF2-40B4-BE49-F238E27FC236}">
                  <a16:creationId xmlns:a16="http://schemas.microsoft.com/office/drawing/2014/main" id="{00000000-0008-0000-1500-000004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19</xdr:row>
          <xdr:rowOff>152400</xdr:rowOff>
        </xdr:from>
        <xdr:to>
          <xdr:col>1</xdr:col>
          <xdr:colOff>342900</xdr:colOff>
          <xdr:row>21</xdr:row>
          <xdr:rowOff>31432</xdr:rowOff>
        </xdr:to>
        <xdr:sp xmlns:xdr="http://schemas.openxmlformats.org/drawingml/2006/spreadsheetDrawing" macro="" textlink="">
          <xdr:nvSpPr>
            <xdr:cNvPr id="8197" name="Check Box 5" hidden="1">
              <a:extLst xmlns:a="http://schemas.openxmlformats.org/drawingml/2006/main">
                <a:ext uri="{63B3BB69-23CF-44E3-9099-C40C66FF867C}">
                  <a14:compatExt xmlns:a14="http://schemas.microsoft.com/office/drawing/2010/main" spid="_x0000_s8197"/>
                </a:ext>
                <a:ext uri="{FF2B5EF4-FFF2-40B4-BE49-F238E27FC236}">
                  <a16:creationId xmlns:a16="http://schemas.microsoft.com/office/drawing/2014/main" id="{00000000-0008-0000-1500-000005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11</xdr:row>
          <xdr:rowOff>145732</xdr:rowOff>
        </xdr:from>
        <xdr:to>
          <xdr:col>6</xdr:col>
          <xdr:colOff>355402</xdr:colOff>
          <xdr:row>13</xdr:row>
          <xdr:rowOff>19050</xdr:rowOff>
        </xdr:to>
        <xdr:sp xmlns:xdr="http://schemas.openxmlformats.org/drawingml/2006/spreadsheetDrawing" macro="" textlink="">
          <xdr:nvSpPr>
            <xdr:cNvPr id="8198" name="Check Box 6" hidden="1">
              <a:extLst xmlns:a="http://schemas.openxmlformats.org/drawingml/2006/main">
                <a:ext uri="{63B3BB69-23CF-44E3-9099-C40C66FF867C}">
                  <a14:compatExt xmlns:a14="http://schemas.microsoft.com/office/drawing/2010/main" spid="_x0000_s8198"/>
                </a:ext>
                <a:ext uri="{FF2B5EF4-FFF2-40B4-BE49-F238E27FC236}">
                  <a16:creationId xmlns:a16="http://schemas.microsoft.com/office/drawing/2014/main" id="{00000000-0008-0000-1500-000006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13</xdr:row>
          <xdr:rowOff>145732</xdr:rowOff>
        </xdr:from>
        <xdr:to>
          <xdr:col>6</xdr:col>
          <xdr:colOff>355402</xdr:colOff>
          <xdr:row>15</xdr:row>
          <xdr:rowOff>19050</xdr:rowOff>
        </xdr:to>
        <xdr:sp xmlns:xdr="http://schemas.openxmlformats.org/drawingml/2006/spreadsheetDrawing" macro="" textlink="">
          <xdr:nvSpPr>
            <xdr:cNvPr id="8199" name="Check Box 7" hidden="1">
              <a:extLst xmlns:a="http://schemas.openxmlformats.org/drawingml/2006/main">
                <a:ext uri="{63B3BB69-23CF-44E3-9099-C40C66FF867C}">
                  <a14:compatExt xmlns:a14="http://schemas.microsoft.com/office/drawing/2010/main" spid="_x0000_s8199"/>
                </a:ext>
                <a:ext uri="{FF2B5EF4-FFF2-40B4-BE49-F238E27FC236}">
                  <a16:creationId xmlns:a16="http://schemas.microsoft.com/office/drawing/2014/main" id="{00000000-0008-0000-1500-000007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15</xdr:row>
          <xdr:rowOff>145732</xdr:rowOff>
        </xdr:from>
        <xdr:to>
          <xdr:col>6</xdr:col>
          <xdr:colOff>355402</xdr:colOff>
          <xdr:row>17</xdr:row>
          <xdr:rowOff>19050</xdr:rowOff>
        </xdr:to>
        <xdr:sp xmlns:xdr="http://schemas.openxmlformats.org/drawingml/2006/spreadsheetDrawing" macro="" textlink="">
          <xdr:nvSpPr>
            <xdr:cNvPr id="8200" name="Check Box 8" hidden="1">
              <a:extLst xmlns:a="http://schemas.openxmlformats.org/drawingml/2006/main">
                <a:ext uri="{63B3BB69-23CF-44E3-9099-C40C66FF867C}">
                  <a14:compatExt xmlns:a14="http://schemas.microsoft.com/office/drawing/2010/main" spid="_x0000_s8200"/>
                </a:ext>
                <a:ext uri="{FF2B5EF4-FFF2-40B4-BE49-F238E27FC236}">
                  <a16:creationId xmlns:a16="http://schemas.microsoft.com/office/drawing/2014/main" id="{00000000-0008-0000-1500-000008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13</xdr:row>
          <xdr:rowOff>133350</xdr:rowOff>
        </xdr:from>
        <xdr:to>
          <xdr:col>10</xdr:col>
          <xdr:colOff>355402</xdr:colOff>
          <xdr:row>15</xdr:row>
          <xdr:rowOff>12382</xdr:rowOff>
        </xdr:to>
        <xdr:sp xmlns:xdr="http://schemas.openxmlformats.org/drawingml/2006/spreadsheetDrawing" macro="" textlink="">
          <xdr:nvSpPr>
            <xdr:cNvPr id="8201" name="Check Box 9" hidden="1">
              <a:extLst xmlns:a="http://schemas.openxmlformats.org/drawingml/2006/main">
                <a:ext uri="{63B3BB69-23CF-44E3-9099-C40C66FF867C}">
                  <a14:compatExt xmlns:a14="http://schemas.microsoft.com/office/drawing/2010/main" spid="_x0000_s8201"/>
                </a:ext>
                <a:ext uri="{FF2B5EF4-FFF2-40B4-BE49-F238E27FC236}">
                  <a16:creationId xmlns:a16="http://schemas.microsoft.com/office/drawing/2014/main" id="{00000000-0008-0000-1500-000009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15</xdr:row>
          <xdr:rowOff>145732</xdr:rowOff>
        </xdr:from>
        <xdr:to>
          <xdr:col>10</xdr:col>
          <xdr:colOff>355402</xdr:colOff>
          <xdr:row>17</xdr:row>
          <xdr:rowOff>19050</xdr:rowOff>
        </xdr:to>
        <xdr:sp xmlns:xdr="http://schemas.openxmlformats.org/drawingml/2006/spreadsheetDrawing" macro="" textlink="">
          <xdr:nvSpPr>
            <xdr:cNvPr id="8202" name="Check Box 10" hidden="1">
              <a:extLst xmlns:a="http://schemas.openxmlformats.org/drawingml/2006/main">
                <a:ext uri="{63B3BB69-23CF-44E3-9099-C40C66FF867C}">
                  <a14:compatExt xmlns:a14="http://schemas.microsoft.com/office/drawing/2010/main" spid="_x0000_s8202"/>
                </a:ext>
                <a:ext uri="{FF2B5EF4-FFF2-40B4-BE49-F238E27FC236}">
                  <a16:creationId xmlns:a16="http://schemas.microsoft.com/office/drawing/2014/main" id="{00000000-0008-0000-1500-00000A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cawtem/AppData/Local/Microsoft/Windows/Temporary%20Internet%20Files/Content.Outlook/IZJJXYAV/LUD2015-005_HRASheduleEvents_V1%200_31May2016%20(3).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TrustHQ/Governance/RESEARCH/R&amp;D%20Dept/A1%20Costing%20Form/AI%20Costing%20Form/Costing%20Form%20final%20version.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TrustHQ/Governance/RESEARCH/R&amp;D%20Dept/Studies/CAN/CAN1304%20Al-Salihi,%20Omar/10%20Finance/Costing/Non-Commercial%20Costing%20Template%20V091216.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Copy%20of%20Non%20commercial%20costing%20template%20Single%20arm%20-V071116.xlsx"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Costing%20Form%20-%20MP6%2018.1.10.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Superceded/Non-Commercial%20Costing%20template%20Single%20Arm%20(Cancer).xlsx"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V150816.xlsx"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xlsx"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TrustHQ/Governance/RESEARCH/R&amp;D%20Dept/Finance/Non-commerical%20income/Non-Commercial%20Costings%20templates/CAN0976%20Proceedure%20costings.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General Guidance"/>
      <sheetName val="Study Information"/>
      <sheetName val="General Activities"/>
      <sheetName val="Arm A1 Per-Participant Activit "/>
      <sheetName val="Arm A2&amp;B Per-Participant Activi"/>
      <sheetName val="Arm C Per-Participant Activitie"/>
      <sheetName val="Arm D Per-Participant Activitie"/>
      <sheetName val="Hints &amp; Tips"/>
      <sheetName val="List of Activities"/>
      <sheetName val="User Feedback"/>
      <sheetName val="Menu Data"/>
      <sheetName val="Staff Cost Table"/>
      <sheetName val="Look Up"/>
      <sheetName val="#REF"/>
    </sheetNames>
    <sheetDataSet>
      <sheetData sheetId="0"/>
      <sheetData sheetId="1"/>
      <sheetData sheetId="2"/>
      <sheetData sheetId="3"/>
      <sheetData sheetId="4"/>
      <sheetData sheetId="5"/>
      <sheetData sheetId="6"/>
      <sheetData sheetId="7"/>
      <sheetData sheetId="8"/>
      <sheetData sheetId="9"/>
      <sheetData sheetId="10">
        <row r="2">
          <cell r="A2" t="str">
            <v>Consent Processes</v>
          </cell>
        </row>
        <row r="3">
          <cell r="A3" t="str">
            <v>Study Set Up</v>
          </cell>
        </row>
        <row r="4">
          <cell r="A4" t="str">
            <v>Study Monitoring</v>
          </cell>
        </row>
        <row r="5">
          <cell r="A5" t="str">
            <v>Study Close Down</v>
          </cell>
        </row>
        <row r="6">
          <cell r="A6" t="str">
            <v>OTHER - Please specify by over-writing</v>
          </cell>
        </row>
      </sheetData>
      <sheetData sheetId="11">
        <row r="4">
          <cell r="B4" t="str">
            <v>Principal Investigator</v>
          </cell>
        </row>
        <row r="5">
          <cell r="B5" t="str">
            <v>Local Research Registrar</v>
          </cell>
        </row>
        <row r="6">
          <cell r="B6" t="str">
            <v>Local Research Fellow</v>
          </cell>
        </row>
        <row r="7">
          <cell r="B7" t="str">
            <v>Local Research Nurse</v>
          </cell>
        </row>
        <row r="8">
          <cell r="B8" t="str">
            <v>Local Clinical Nurse Specialist</v>
          </cell>
        </row>
        <row r="9">
          <cell r="B9" t="str">
            <v>Local Radiologist</v>
          </cell>
        </row>
        <row r="10">
          <cell r="B10" t="str">
            <v>Local Radiographer</v>
          </cell>
        </row>
        <row r="11">
          <cell r="B11" t="str">
            <v>Local Physio/ Occupational Therapist</v>
          </cell>
        </row>
        <row r="12">
          <cell r="B12" t="str">
            <v>Local Outpatient Staff</v>
          </cell>
        </row>
        <row r="13">
          <cell r="B13" t="str">
            <v>Local GP  </v>
          </cell>
        </row>
        <row r="14">
          <cell r="B14" t="str">
            <v>Local GP Practice Manager</v>
          </cell>
        </row>
        <row r="15">
          <cell r="B15" t="str">
            <v>Local GP Practice Nurse</v>
          </cell>
        </row>
        <row r="16">
          <cell r="B16" t="str">
            <v>Local Dentist</v>
          </cell>
        </row>
        <row r="17">
          <cell r="B17" t="str">
            <v>Local Pharmacist</v>
          </cell>
        </row>
        <row r="18">
          <cell r="B18" t="str">
            <v>Local Pharmacy Technician</v>
          </cell>
        </row>
        <row r="19">
          <cell r="B19" t="str">
            <v>Local Laboratory Staff</v>
          </cell>
        </row>
        <row r="20">
          <cell r="B20" t="str">
            <v>Local Administrative &amp; Clerical Staff</v>
          </cell>
        </row>
        <row r="21">
          <cell r="B21" t="str">
            <v>External Staff (Central Research Team)</v>
          </cell>
        </row>
      </sheetData>
      <sheetData sheetId="12" refreshError="1"/>
      <sheetData sheetId="13" refreshError="1"/>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PROCEDURE INDEX"/>
      <sheetName val="Per Patient Budget"/>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Project Costs</v>
          </cell>
          <cell r="V3" t="str">
            <v>Study_Type</v>
          </cell>
          <cell r="W3" t="str">
            <v>Educational</v>
          </cell>
          <cell r="X3" t="str">
            <v>Set_up</v>
          </cell>
          <cell r="AA3" t="str">
            <v>Procedures</v>
          </cell>
          <cell r="AC3" t="str">
            <v>Costs_Fall_To</v>
          </cell>
          <cell r="AD3" t="str">
            <v>Project_Complete</v>
          </cell>
          <cell r="AE3" t="str">
            <v>Cost Type</v>
          </cell>
          <cell r="AF3" t="str">
            <v>Process</v>
          </cell>
        </row>
        <row r="4">
          <cell r="A4" t="str">
            <v>Staff</v>
          </cell>
          <cell r="V4" t="str">
            <v>Portfolio Non-commercial</v>
          </cell>
          <cell r="W4" t="str">
            <v>None</v>
          </cell>
          <cell r="X4" t="str">
            <v>None</v>
          </cell>
          <cell r="AA4" t="str">
            <v>None</v>
          </cell>
          <cell r="AC4" t="str">
            <v>None</v>
          </cell>
          <cell r="AD4" t="str">
            <v>No</v>
          </cell>
          <cell r="AE4" t="str">
            <v>Research Cost</v>
          </cell>
          <cell r="AF4" t="str">
            <v>None</v>
          </cell>
        </row>
        <row r="5">
          <cell r="A5" t="str">
            <v>Automated_Laboratory</v>
          </cell>
          <cell r="V5" t="str">
            <v>Non Portfolio Non-commercial</v>
          </cell>
          <cell r="W5" t="str">
            <v>4th Year</v>
          </cell>
          <cell r="X5" t="str">
            <v>Advertising</v>
          </cell>
          <cell r="AA5" t="str">
            <v>Adverse events</v>
          </cell>
          <cell r="AC5" t="str">
            <v>Division A</v>
          </cell>
          <cell r="AD5" t="str">
            <v>Yes</v>
          </cell>
          <cell r="AE5" t="str">
            <v>Support Cost</v>
          </cell>
          <cell r="AF5" t="str">
            <v>Blood sample</v>
          </cell>
        </row>
        <row r="6">
          <cell r="A6" t="str">
            <v>Biochemistry</v>
          </cell>
          <cell r="V6" t="str">
            <v>Internal Grant Application</v>
          </cell>
          <cell r="W6" t="str">
            <v>MPhil</v>
          </cell>
          <cell r="X6" t="str">
            <v>Ethics submission</v>
          </cell>
          <cell r="AA6" t="str">
            <v>Blood sample</v>
          </cell>
          <cell r="AC6" t="str">
            <v>Division B</v>
          </cell>
          <cell r="AE6" t="str">
            <v>Excess Treatment</v>
          </cell>
          <cell r="AF6" t="str">
            <v>Clinician training to deliver the treatment</v>
          </cell>
        </row>
        <row r="7">
          <cell r="A7" t="str">
            <v>Cardiology</v>
          </cell>
          <cell r="V7" t="str">
            <v>Own Acouint</v>
          </cell>
          <cell r="W7" t="str">
            <v>MSc</v>
          </cell>
          <cell r="X7" t="str">
            <v>Info. Sheet development</v>
          </cell>
          <cell r="AA7" t="str">
            <v>Concomitant medication check</v>
          </cell>
          <cell r="AC7" t="str">
            <v>Division C</v>
          </cell>
          <cell r="AF7" t="str">
            <v>Concomitant medication check</v>
          </cell>
        </row>
        <row r="8">
          <cell r="A8" t="str">
            <v>Consumables</v>
          </cell>
          <cell r="W8" t="str">
            <v>Other</v>
          </cell>
          <cell r="X8" t="str">
            <v>Leaflets</v>
          </cell>
          <cell r="AA8" t="str">
            <v>CRF completion</v>
          </cell>
          <cell r="AC8" t="str">
            <v>Division D</v>
          </cell>
          <cell r="AF8" t="str">
            <v>CRF completion</v>
          </cell>
        </row>
        <row r="9">
          <cell r="A9" t="str">
            <v>Equipment</v>
          </cell>
          <cell r="W9" t="str">
            <v>PhD</v>
          </cell>
          <cell r="X9" t="str">
            <v>Proposal evaluation</v>
          </cell>
          <cell r="AA9" t="str">
            <v>Dispense diaries</v>
          </cell>
          <cell r="AC9" t="str">
            <v>R &amp; D</v>
          </cell>
          <cell r="AF9" t="str">
            <v>Database search</v>
          </cell>
        </row>
        <row r="10">
          <cell r="A10" t="str">
            <v>Haematology</v>
          </cell>
          <cell r="X10" t="str">
            <v>Protocol development</v>
          </cell>
          <cell r="AA10" t="str">
            <v>Drug accountability</v>
          </cell>
          <cell r="AC10" t="str">
            <v>BRU-Nutrition</v>
          </cell>
          <cell r="AF10" t="str">
            <v>Data Analysis</v>
          </cell>
        </row>
        <row r="11">
          <cell r="A11" t="str">
            <v>Histo_Immunogenetics</v>
          </cell>
          <cell r="X11" t="str">
            <v>Questionnaire development</v>
          </cell>
          <cell r="AA11" t="str">
            <v>Eligibility checks</v>
          </cell>
          <cell r="AC11" t="str">
            <v>BRU-Respiratory</v>
          </cell>
          <cell r="AF11" t="str">
            <v>Device Accountability</v>
          </cell>
        </row>
        <row r="12">
          <cell r="A12" t="str">
            <v>Immunology</v>
          </cell>
          <cell r="X12" t="str">
            <v>R&amp;D submission</v>
          </cell>
          <cell r="AA12" t="str">
            <v>Height /weight measurements</v>
          </cell>
          <cell r="AC12" t="str">
            <v>Cancer Network</v>
          </cell>
          <cell r="AF12" t="str">
            <v>Device calibration</v>
          </cell>
        </row>
        <row r="13">
          <cell r="A13" t="str">
            <v>Micro_Biology</v>
          </cell>
          <cell r="AA13" t="str">
            <v>Informed consent</v>
          </cell>
          <cell r="AC13" t="str">
            <v>CLRN Funded</v>
          </cell>
          <cell r="AF13" t="str">
            <v>Dispense diaries</v>
          </cell>
        </row>
        <row r="14">
          <cell r="A14" t="str">
            <v>Molecular_Biology</v>
          </cell>
          <cell r="AA14" t="str">
            <v>Medical history</v>
          </cell>
          <cell r="AC14" t="str">
            <v>Third Party</v>
          </cell>
          <cell r="AF14" t="str">
            <v>Drug Accountability</v>
          </cell>
        </row>
        <row r="15">
          <cell r="A15" t="str">
            <v>Nuclear_Medicine </v>
          </cell>
          <cell r="AA15" t="str">
            <v>Monitoring visits</v>
          </cell>
          <cell r="AC15" t="str">
            <v>UoS</v>
          </cell>
          <cell r="AF15" t="str">
            <v>Drug Administration</v>
          </cell>
        </row>
        <row r="16">
          <cell r="A16" t="str">
            <v>Osteoporosis_Centre (DivB)</v>
          </cell>
          <cell r="AA16" t="str">
            <v>Physical examination</v>
          </cell>
          <cell r="AC16" t="str">
            <v>WTCRF</v>
          </cell>
          <cell r="AF16" t="str">
            <v>Eligibility</v>
          </cell>
        </row>
        <row r="17">
          <cell r="A17" t="str">
            <v>Outpatients_FirstAttendance_Single_Professional</v>
          </cell>
          <cell r="AA17" t="str">
            <v>Pregnancy test</v>
          </cell>
          <cell r="AF17" t="str">
            <v>Finance Support</v>
          </cell>
        </row>
        <row r="18">
          <cell r="A18" t="str">
            <v>Outpatients_FollowUp_Single_Professional</v>
          </cell>
          <cell r="AA18" t="str">
            <v>Prescription for study </v>
          </cell>
          <cell r="AF18" t="str">
            <v>Focus Group</v>
          </cell>
        </row>
        <row r="19">
          <cell r="A19" t="str">
            <v>Pharmacy</v>
          </cell>
          <cell r="AA19" t="str">
            <v>Randomisation</v>
          </cell>
          <cell r="AF19" t="str">
            <v>General Observation</v>
          </cell>
        </row>
        <row r="20">
          <cell r="A20" t="str">
            <v>Radiology</v>
          </cell>
          <cell r="AA20" t="str">
            <v>Review diaries</v>
          </cell>
          <cell r="AF20" t="str">
            <v>Height/Weight Measurements</v>
          </cell>
        </row>
        <row r="21">
          <cell r="A21" t="str">
            <v>Trace_Elements</v>
          </cell>
          <cell r="AA21" t="str">
            <v>Transfer data to CRF</v>
          </cell>
          <cell r="AF21" t="str">
            <v>Informed consent</v>
          </cell>
        </row>
        <row r="22">
          <cell r="AA22" t="str">
            <v>Urinalysis(dipstick)</v>
          </cell>
          <cell r="AF22" t="str">
            <v>Instructions for patient</v>
          </cell>
        </row>
        <row r="23">
          <cell r="AF23" t="str">
            <v>Interviewing NHS staff or patients</v>
          </cell>
        </row>
        <row r="24">
          <cell r="AF24" t="str">
            <v>Medical history</v>
          </cell>
        </row>
        <row r="25">
          <cell r="AF25" t="str">
            <v>Monitoring visits</v>
          </cell>
        </row>
        <row r="26">
          <cell r="AF26" t="str">
            <v>Note search</v>
          </cell>
        </row>
        <row r="27">
          <cell r="AF27" t="str">
            <v>OTHER - Please list</v>
          </cell>
        </row>
        <row r="28">
          <cell r="AF28" t="str">
            <v>Patient Follow-up</v>
          </cell>
        </row>
        <row r="29">
          <cell r="AF29" t="str">
            <v>Patient Follow-up : long-term study evaluation</v>
          </cell>
        </row>
        <row r="30">
          <cell r="AF30" t="str">
            <v>Performance evaluation/assessment</v>
          </cell>
        </row>
        <row r="31">
          <cell r="AF31" t="str">
            <v>Physical examination</v>
          </cell>
        </row>
        <row r="32">
          <cell r="AF32" t="str">
            <v>Pregnancy test</v>
          </cell>
        </row>
        <row r="33">
          <cell r="AF33" t="str">
            <v>Prescription for study </v>
          </cell>
        </row>
        <row r="34">
          <cell r="AF34" t="str">
            <v>Prescription for study </v>
          </cell>
        </row>
        <row r="35">
          <cell r="AF35" t="str">
            <v>Pre-submission grant work</v>
          </cell>
        </row>
        <row r="36">
          <cell r="AF36" t="str">
            <v>Procedures</v>
          </cell>
        </row>
        <row r="37">
          <cell r="AF37" t="str">
            <v>Project Maintenance</v>
          </cell>
        </row>
        <row r="38">
          <cell r="AF38" t="str">
            <v>Randomisation</v>
          </cell>
        </row>
        <row r="39">
          <cell r="AF39" t="str">
            <v>Resullt Dissemination</v>
          </cell>
        </row>
        <row r="40">
          <cell r="AF40" t="str">
            <v>Results publishing</v>
          </cell>
        </row>
        <row r="41">
          <cell r="AF41" t="str">
            <v>Review diaries</v>
          </cell>
        </row>
        <row r="42">
          <cell r="AF42" t="str">
            <v>Review Questionnaire</v>
          </cell>
        </row>
        <row r="43">
          <cell r="AF43" t="str">
            <v>SAE Reporting</v>
          </cell>
        </row>
        <row r="44">
          <cell r="AF44" t="str">
            <v>Screening Tests</v>
          </cell>
        </row>
        <row r="45">
          <cell r="AF45" t="str">
            <v>Set Up</v>
          </cell>
        </row>
        <row r="46">
          <cell r="AF46" t="str">
            <v>Telephone Interview</v>
          </cell>
        </row>
        <row r="47">
          <cell r="AF47" t="str">
            <v>Tests/Procedures</v>
          </cell>
        </row>
        <row r="48">
          <cell r="AF48" t="str">
            <v>Transfer data to CRF or eCRF</v>
          </cell>
        </row>
        <row r="49">
          <cell r="AF49" t="str">
            <v>Trial registration</v>
          </cell>
        </row>
        <row r="50">
          <cell r="AF50" t="str">
            <v>Urinalysis (dipstick)</v>
          </cell>
        </row>
        <row r="51">
          <cell r="AF51" t="str">
            <v>Uploading CRF</v>
          </cell>
        </row>
        <row r="52">
          <cell r="AF52" t="str">
            <v>Vital Signs/height/weight measurements</v>
          </cell>
        </row>
        <row r="53">
          <cell r="AF53" t="str">
            <v>Write Up</v>
          </cell>
        </row>
      </sheetData>
      <sheetData sheetId="18"/>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Additional Study Activities"/>
      <sheetName val="Set-up and other costs"/>
      <sheetName val="Per patient Arm 1"/>
      <sheetName val="Per patient Arm 2"/>
      <sheetName val="Per patient Arm 3"/>
      <sheetName val="Per patient Arm 4"/>
      <sheetName val="Per patient Arm 5"/>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11">
          <cell r="A11" t="str">
            <v>Pharmacy</v>
          </cell>
        </row>
        <row r="16">
          <cell r="A16" t="str">
            <v>Pathology</v>
          </cell>
        </row>
        <row r="17">
          <cell r="A17" t="str">
            <v>Radiology</v>
          </cell>
        </row>
        <row r="18">
          <cell r="A18" t="str">
            <v>Opthamology</v>
          </cell>
        </row>
        <row r="19">
          <cell r="A19" t="str">
            <v>Other Costs</v>
          </cell>
        </row>
      </sheetData>
      <sheetData sheetId="7" refreshError="1"/>
      <sheetData sheetId="8" refreshError="1">
        <row r="4">
          <cell r="C4">
            <v>250</v>
          </cell>
        </row>
      </sheetData>
      <sheetData sheetId="9" refreshError="1">
        <row r="51">
          <cell r="AS51">
            <v>0</v>
          </cell>
        </row>
      </sheetData>
      <sheetData sheetId="10" refreshError="1">
        <row r="51">
          <cell r="AS51">
            <v>0</v>
          </cell>
        </row>
      </sheetData>
      <sheetData sheetId="11" refreshError="1">
        <row r="51">
          <cell r="AS51">
            <v>0</v>
          </cell>
        </row>
      </sheetData>
      <sheetData sheetId="12" refreshError="1">
        <row r="51">
          <cell r="AS51">
            <v>0</v>
          </cell>
        </row>
      </sheetData>
      <sheetData sheetId="13" refreshError="1">
        <row r="51">
          <cell r="AS51">
            <v>0</v>
          </cell>
        </row>
      </sheetData>
      <sheetData sheetId="14" refreshError="1"/>
      <sheetData sheetId="15" refreshError="1"/>
      <sheetData sheetId="16" refreshError="1"/>
      <sheetData sheetId="17"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5">
          <cell r="A5" t="str">
            <v>Support Cost</v>
          </cell>
        </row>
        <row r="6">
          <cell r="A6" t="str">
            <v>Research Cost A</v>
          </cell>
        </row>
        <row r="7">
          <cell r="A7" t="str">
            <v>Research Cost B</v>
          </cell>
        </row>
        <row r="8">
          <cell r="A8" t="str">
            <v>Excess Treatment Costs</v>
          </cell>
        </row>
        <row r="15">
          <cell r="A15" t="str">
            <v>Pathology</v>
          </cell>
        </row>
        <row r="16">
          <cell r="A16" t="str">
            <v>Radiology</v>
          </cell>
        </row>
        <row r="17">
          <cell r="A17" t="str">
            <v>Opthamology</v>
          </cell>
        </row>
        <row r="18">
          <cell r="A18" t="str">
            <v>Other Costs</v>
          </cell>
        </row>
      </sheetData>
      <sheetData sheetId="7" refreshError="1"/>
      <sheetData sheetId="8" refreshError="1"/>
      <sheetData sheetId="9" refreshError="1"/>
      <sheetData sheetId="10" refreshError="1"/>
      <sheetData sheetId="11" refreshError="1"/>
      <sheetData sheetId="12" refreshError="1"/>
      <sheetData sheetId="13"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PROCEDURE INDEX"/>
      <sheetName val="Study Procedures"/>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4">
          <cell r="A54" t="str">
            <v>Procedure</v>
          </cell>
        </row>
        <row r="55">
          <cell r="A55" t="str">
            <v>Informed consent</v>
          </cell>
        </row>
        <row r="56">
          <cell r="A56" t="str">
            <v>Medical history</v>
          </cell>
        </row>
        <row r="57">
          <cell r="A57" t="str">
            <v>Blood sample</v>
          </cell>
        </row>
        <row r="58">
          <cell r="A58" t="str">
            <v>Height /weight measurements</v>
          </cell>
        </row>
        <row r="59">
          <cell r="A59" t="str">
            <v>Physical examination</v>
          </cell>
        </row>
        <row r="60">
          <cell r="A60" t="str">
            <v>Urinalysis(dipstick)</v>
          </cell>
        </row>
        <row r="61">
          <cell r="A61" t="str">
            <v>Pregnancy test</v>
          </cell>
        </row>
        <row r="62">
          <cell r="A62" t="str">
            <v>Adverse events</v>
          </cell>
        </row>
        <row r="63">
          <cell r="A63" t="str">
            <v>Dispense diaries</v>
          </cell>
        </row>
        <row r="64">
          <cell r="A64" t="str">
            <v>Review diaries</v>
          </cell>
        </row>
        <row r="65">
          <cell r="A65" t="str">
            <v>Transfer data to CRF</v>
          </cell>
        </row>
        <row r="66">
          <cell r="A66" t="str">
            <v>Randomisation</v>
          </cell>
        </row>
        <row r="67">
          <cell r="A67" t="str">
            <v>Prescription for study </v>
          </cell>
        </row>
        <row r="68">
          <cell r="A68" t="str">
            <v>Drug accountability</v>
          </cell>
        </row>
        <row r="69">
          <cell r="A69" t="str">
            <v>Concomitant medication check</v>
          </cell>
        </row>
        <row r="70">
          <cell r="A70" t="str">
            <v>CRF completion</v>
          </cell>
        </row>
        <row r="71">
          <cell r="A71" t="str">
            <v>Monitoring visits</v>
          </cell>
        </row>
      </sheetData>
      <sheetData sheetId="18"/>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Budget"/>
      <sheetName val="R&amp;D Authorisation Sheet"/>
      <sheetName val="Data Sheet Costs"/>
      <sheetName val="Commercial Procedures"/>
      <sheetName val="Sheet1"/>
    </sheetNames>
    <sheetDataSet>
      <sheetData sheetId="0"/>
      <sheetData sheetId="1"/>
      <sheetData sheetId="2"/>
      <sheetData sheetId="3"/>
      <sheetData sheetId="4"/>
      <sheetData sheetId="5"/>
      <sheetData sheetId="6"/>
      <sheetData sheetId="7"/>
      <sheetData sheetId="8"/>
      <sheetData sheetId="9">
        <row r="2">
          <cell r="B2">
            <v>0</v>
          </cell>
        </row>
        <row r="10">
          <cell r="B10">
            <v>0</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Study Information &amp; rates"/>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Sheet1"/>
      <sheetName val="Data Sheet Costs"/>
      <sheetName val="Sheet2"/>
    </sheetNames>
    <sheetDataSet>
      <sheetData sheetId="0"/>
      <sheetData sheetId="1"/>
      <sheetData sheetId="2"/>
      <sheetData sheetId="3"/>
      <sheetData sheetId="4"/>
      <sheetData sheetId="5">
        <row r="6">
          <cell r="A6" t="str">
            <v>Research Cost</v>
          </cell>
        </row>
        <row r="7">
          <cell r="A7" t="str">
            <v>Excess Treatment Costs</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R&amp;D Authorisation Sheet"/>
      <sheetName val="Budget"/>
      <sheetName val="Data Sheet Costs"/>
      <sheetName val="Commercial Procedures"/>
      <sheetName val="Sheet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Study Information &amp; rates"/>
      <sheetName val="Per patient group 1"/>
      <sheetName val="Additional Study Activities"/>
      <sheetName val="Set-up and other costs"/>
      <sheetName val="Pharmacy"/>
      <sheetName val="Total summary"/>
      <sheetName val="R&amp;D Authoriation Sheet"/>
    </sheetNames>
    <sheetDataSet>
      <sheetData sheetId="0">
        <row r="10">
          <cell r="B10" t="str">
            <v>CAN0976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3" Type="http://schemas.openxmlformats.org/officeDocument/2006/relationships/vmlDrawing" Target="/xl/drawings/vmlDrawing3.vml" /><Relationship Id="rId2" Type="http://schemas.openxmlformats.org/officeDocument/2006/relationships/hyperlink" Target="https://www.nihr.ac.uk/documents/centre-for-engagement-and-dissemination-recognition-payments-for-public-contributors/24979" TargetMode="External" /><Relationship Id="rId1" Type="http://schemas.openxmlformats.org/officeDocument/2006/relationships/hyperlink" Target="https://www.nhsemployers.org/pay-pensions-and-reward/agenda-for-change/pay-scales/hourly" TargetMode="External" /><Relationship Id="rId4" Type="http://schemas.openxmlformats.org/officeDocument/2006/relationships/comments" Target="/xl/comments3.xml" /></Relationships>
</file>

<file path=xl/worksheets/_rels/sheet2.xml.rels><?xml version="1.0" encoding="utf-8" standalone="yes"?><Relationships xmlns="http://schemas.openxmlformats.org/package/2006/relationships"><Relationship Id="rId3" Type="http://schemas.openxmlformats.org/officeDocument/2006/relationships/printerSettings" Target="../printerSettings/printerSettings2.bin" /><Relationship Id="rId2" Type="http://schemas.openxmlformats.org/officeDocument/2006/relationships/hyperlink" Target="https://www.nihr.ac.uk/documents/online-soecat-guidance/30396" TargetMode="External" /><Relationship Id="rId1" Type="http://schemas.openxmlformats.org/officeDocument/2006/relationships/hyperlink" Target="https://www.amrc.org.uk/pages/category/member-directory?Take=20" TargetMode="External" /></Relationships>
</file>

<file path=xl/worksheets/_rels/sheet20.xml.rels><?xml version="1.0" encoding="utf-8" standalone="yes"?><Relationships xmlns="http://schemas.openxmlformats.org/package/2006/relationships"><Relationship Id="rId3" Type="http://schemas.openxmlformats.org/officeDocument/2006/relationships/comments" Target="/xl/comments4.xml" /><Relationship Id="rId2" Type="http://schemas.openxmlformats.org/officeDocument/2006/relationships/vmlDrawing" Target="/xl/drawings/vmlDrawing4.vml" /><Relationship Id="rId1" Type="http://schemas.openxmlformats.org/officeDocument/2006/relationships/printerSettings" Target="../printerSettings/printerSettings18.bin" /></Relationships>
</file>

<file path=xl/worksheets/_rels/sheet2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9.bin" /></Relationships>
</file>

<file path=xl/worksheets/_rels/sheet22.xml.rels><?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xl/drawings/vmlDrawing5.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xl/drawings/drawing2.xml" /><Relationship Id="rId1" Type="http://schemas.openxmlformats.org/officeDocument/2006/relationships/printerSettings" Target="../printerSettings/printerSettings20.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3.xml.rels><?xml version="1.0" encoding="utf-8" standalone="yes"?><Relationships xmlns="http://schemas.openxmlformats.org/package/2006/relationships"><Relationship Id="rId3" Type="http://schemas.openxmlformats.org/officeDocument/2006/relationships/comments" Target="/xl/comments5.xml" /><Relationship Id="rId2" Type="http://schemas.openxmlformats.org/officeDocument/2006/relationships/vmlDrawing" Target="/xl/drawings/vmlDrawing6.vml" /><Relationship Id="rId1" Type="http://schemas.openxmlformats.org/officeDocument/2006/relationships/printerSettings" Target="../printerSettings/printerSettings2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3" Type="http://schemas.openxmlformats.org/officeDocument/2006/relationships/comments" Target="/xl/comments2.xml" /><Relationship Id="rId2" Type="http://schemas.openxmlformats.org/officeDocument/2006/relationships/vmlDrawing" Target="/xl/drawings/vmlDrawing2.vml" /><Relationship Id="rId1"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1">
    <tabColor rgb="FF92D050"/>
  </sheetPr>
  <dimension ref="A1:L31"/>
  <sheetViews>
    <sheetView view="normal" workbookViewId="0">
      <selection pane="topLeft" activeCell="E37" sqref="E37"/>
    </sheetView>
  </sheetViews>
  <sheetFormatPr defaultRowHeight="12.5"/>
  <sheetData>
    <row r="1" spans="1:2" customFormat="1">
      <c r="A1">
        <v>1</v>
      </c>
      <c r="B1" t="s">
        <v>2047</v>
      </c>
    </row>
    <row r="2" spans="2:2" customFormat="1">
      <c r="B2" s="344" t="s">
        <v>2159</v>
      </c>
    </row>
    <row r="3" spans="1:2">
      <c r="A3">
        <v>2</v>
      </c>
      <c r="B3" t="s">
        <v>2045</v>
      </c>
    </row>
    <row r="4" spans="2:2" ht="14.5">
      <c r="B4" t="s">
        <v>2059</v>
      </c>
    </row>
    <row r="5" spans="2:2" customFormat="1">
      <c r="B5" t="s">
        <v>2054</v>
      </c>
    </row>
    <row r="6" spans="2:2" customFormat="1" ht="14.5">
      <c r="B6" s="296"/>
    </row>
    <row r="8" spans="1:2">
      <c r="A8">
        <v>3</v>
      </c>
      <c r="B8" t="s">
        <v>2046</v>
      </c>
    </row>
    <row r="9" spans="2:2">
      <c r="B9" t="s">
        <v>2055</v>
      </c>
    </row>
    <row r="11" spans="1:2" ht="14.5">
      <c r="A11">
        <v>4</v>
      </c>
      <c r="B11" t="s">
        <v>2067</v>
      </c>
    </row>
    <row r="13" spans="1:2" ht="14.5">
      <c r="A13">
        <v>5</v>
      </c>
      <c r="B13" t="s">
        <v>2068</v>
      </c>
    </row>
    <row r="15" spans="1:2" ht="14.5">
      <c r="A15">
        <v>6</v>
      </c>
      <c r="B15" t="s">
        <v>2069</v>
      </c>
    </row>
    <row r="17" spans="1:2">
      <c r="A17">
        <v>7</v>
      </c>
      <c r="B17" t="s">
        <v>2049</v>
      </c>
    </row>
    <row r="18" spans="2:2" ht="14.5">
      <c r="B18" s="296" t="s">
        <v>2048</v>
      </c>
    </row>
    <row r="19" spans="2:2">
      <c r="B19" t="s">
        <v>2050</v>
      </c>
    </row>
    <row r="21" spans="1:2">
      <c r="A21">
        <v>8</v>
      </c>
      <c r="B21" t="s">
        <v>2051</v>
      </c>
    </row>
    <row r="22" spans="8:8">
      <c r="H22" s="309"/>
    </row>
    <row r="23" spans="1:2">
      <c r="A23">
        <v>9</v>
      </c>
      <c r="B23" t="s">
        <v>2052</v>
      </c>
    </row>
    <row r="24" spans="2:2" ht="14.5">
      <c r="B24" s="296" t="s">
        <v>2048</v>
      </c>
    </row>
    <row r="25" spans="2:2" ht="14.5">
      <c r="B25" t="s">
        <v>2053</v>
      </c>
    </row>
    <row r="27" spans="1:2" ht="14.5">
      <c r="A27">
        <v>10</v>
      </c>
      <c r="B27" t="s">
        <v>2070</v>
      </c>
    </row>
    <row r="29" spans="2:2" ht="14.5">
      <c r="B29" s="305" t="s">
        <v>2071</v>
      </c>
    </row>
    <row r="31" spans="1:12">
      <c r="A31">
        <v>11</v>
      </c>
      <c r="B31" s="345" t="s">
        <v>2161</v>
      </c>
      <c r="L31" s="346"/>
    </row>
  </sheetData>
  <pageMargins left="0.7" right="0.7" top="0.75" bottom="0.75" header="0.3" footer="0.3"/>
  <pageSetup paperSize="9" orientation="portrait"/>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tabColor rgb="FFFF0000"/>
  </sheetPr>
  <dimension ref="A1:BU93"/>
  <sheetViews>
    <sheetView topLeftCell="A1" zoomScale="70" view="normal" workbookViewId="0">
      <pane xSplit="1" ySplit="7" topLeftCell="B8" activePane="bottomRight" state="frozen"/>
      <selection pane="bottomRight" activeCell="A59" sqref="A59"/>
    </sheetView>
  </sheetViews>
  <sheetFormatPr defaultColWidth="9.1796875" defaultRowHeight="13"/>
  <cols>
    <col min="1" max="1" width="52.140625" style="6" customWidth="1"/>
    <col min="2" max="2" width="21.41796875" style="6" customWidth="1"/>
    <col min="3" max="3" width="12.2773437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11" width="11.27734375" style="6" customWidth="1"/>
    <col min="12" max="12" width="13.5703125" style="6" customWidth="1"/>
    <col min="13" max="42" width="11.27734375" style="6" customWidth="1"/>
    <col min="43" max="43" width="3.7109375" style="6" customWidth="1"/>
    <col min="44" max="44" width="15.27734375" style="6" customWidth="1"/>
    <col min="45" max="47" width="12.84765625" style="6" customWidth="1"/>
    <col min="48" max="48" width="15.140625" style="6" customWidth="1"/>
    <col min="49" max="49" width="9.27734375" style="6" customWidth="1"/>
    <col min="50" max="52" width="9.140625" style="6" customWidth="1"/>
    <col min="53" max="53" width="20.5703125" style="6" hidden="1" customWidth="1"/>
    <col min="54" max="73" width="9.140625" style="6" hidden="1" customWidth="1"/>
    <col min="74" max="16384" width="9.140625" style="6" customWidth="1"/>
  </cols>
  <sheetData>
    <row r="1" spans="1:53"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BA1" s="8" t="s">
        <v>1856</v>
      </c>
    </row>
    <row r="2" spans="1:53"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BA2" s="8" t="s">
        <v>1857</v>
      </c>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53"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BA5" s="11"/>
    </row>
    <row r="6" spans="3:72" ht="21">
      <c r="C6" s="7"/>
      <c r="D6" s="7"/>
      <c r="E6" s="7"/>
      <c r="F6" s="7"/>
      <c r="H6" s="323" t="s">
        <v>2131</v>
      </c>
      <c r="I6" s="321" t="s">
        <v>2132</v>
      </c>
      <c r="J6" s="321" t="s">
        <v>2133</v>
      </c>
      <c r="K6" s="321" t="s">
        <v>2134</v>
      </c>
      <c r="L6" s="322" t="s">
        <v>2135</v>
      </c>
      <c r="M6" s="314" t="s">
        <v>2097</v>
      </c>
      <c r="N6" s="314" t="s">
        <v>2098</v>
      </c>
      <c r="O6" s="314" t="s">
        <v>2136</v>
      </c>
      <c r="P6" s="314" t="s">
        <v>2137</v>
      </c>
      <c r="Q6" s="314" t="s">
        <v>2138</v>
      </c>
      <c r="R6" s="314" t="s">
        <v>1942</v>
      </c>
      <c r="S6" s="314" t="s">
        <v>1943</v>
      </c>
      <c r="T6" s="314" t="s">
        <v>1944</v>
      </c>
      <c r="U6" s="314" t="s">
        <v>2101</v>
      </c>
      <c r="V6" s="314" t="s">
        <v>2102</v>
      </c>
      <c r="W6" s="314" t="s">
        <v>2103</v>
      </c>
      <c r="X6" s="314" t="s">
        <v>2104</v>
      </c>
      <c r="Y6" s="314" t="s">
        <v>2105</v>
      </c>
      <c r="Z6" s="314" t="s">
        <v>2106</v>
      </c>
      <c r="AA6" s="314" t="s">
        <v>2107</v>
      </c>
      <c r="AB6" s="314" t="s">
        <v>2108</v>
      </c>
      <c r="AC6" s="314" t="s">
        <v>2109</v>
      </c>
      <c r="AD6" s="314" t="s">
        <v>2110</v>
      </c>
      <c r="AE6" s="314" t="s">
        <v>2111</v>
      </c>
      <c r="AF6" s="314" t="s">
        <v>2112</v>
      </c>
      <c r="AG6" s="314" t="s">
        <v>2113</v>
      </c>
      <c r="AH6" s="314" t="s">
        <v>2114</v>
      </c>
      <c r="AI6" s="314" t="s">
        <v>2115</v>
      </c>
      <c r="AJ6" s="314" t="s">
        <v>2116</v>
      </c>
      <c r="AK6" s="314" t="s">
        <v>2117</v>
      </c>
      <c r="AL6" s="314" t="s">
        <v>2118</v>
      </c>
      <c r="AM6" s="314"/>
      <c r="AN6" s="314"/>
      <c r="AO6" s="314"/>
      <c r="AP6" s="314"/>
      <c r="AQ6" s="453"/>
      <c r="BA6"/>
      <c r="BP6" s="11"/>
      <c r="BQ6" s="11" t="s">
        <v>2022</v>
      </c>
      <c r="BR6" s="11"/>
      <c r="BS6" s="11"/>
      <c r="BT6" s="11"/>
    </row>
    <row r="7" spans="1:72" s="11" customFormat="1" ht="39">
      <c r="A7" s="35" t="s">
        <v>0</v>
      </c>
      <c r="B7" s="9" t="s">
        <v>2058</v>
      </c>
      <c r="C7" s="9" t="s">
        <v>1968</v>
      </c>
      <c r="D7" s="9" t="s">
        <v>1969</v>
      </c>
      <c r="E7" s="9" t="s">
        <v>9</v>
      </c>
      <c r="F7" s="9"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A7"/>
      <c r="BC7" s="9" t="s">
        <v>3</v>
      </c>
      <c r="BD7" s="9" t="s">
        <v>5</v>
      </c>
      <c r="BE7" s="9" t="s">
        <v>1852</v>
      </c>
      <c r="BF7" s="9" t="s">
        <v>4</v>
      </c>
      <c r="BG7" s="11" t="s">
        <v>1983</v>
      </c>
      <c r="BH7" s="11" t="s">
        <v>2020</v>
      </c>
      <c r="BI7" s="11" t="s">
        <v>2021</v>
      </c>
      <c r="BJ7" s="11" t="s">
        <v>1984</v>
      </c>
      <c r="BL7" s="11" t="s">
        <v>1968</v>
      </c>
      <c r="BM7" s="11" t="s">
        <v>1969</v>
      </c>
      <c r="BN7" s="11" t="s">
        <v>9</v>
      </c>
      <c r="BO7" s="11" t="s">
        <v>8</v>
      </c>
      <c r="BP7" s="286"/>
      <c r="BQ7" s="286" t="s">
        <v>1968</v>
      </c>
      <c r="BR7" s="286" t="s">
        <v>1969</v>
      </c>
      <c r="BS7" s="286" t="s">
        <v>9</v>
      </c>
      <c r="BT7" s="286" t="s">
        <v>8</v>
      </c>
    </row>
    <row r="8" spans="1:72">
      <c r="A8" s="8"/>
      <c r="B8" s="8"/>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319"/>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costs'!$B$18*'Per patient Arm 2'!AU8</f>
        <v>0</v>
      </c>
      <c r="BA8">
        <f>SUMIF($B:$B,BA1,$AV:$AV)</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342"/>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319"/>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costs'!$B$18*'Per patient Arm 2'!AU9</f>
        <v>0</v>
      </c>
      <c r="AW9" s="261"/>
      <c r="BA9">
        <f>SUMIF($B:$B,BA2,$AV:$AV)</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342"/>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319"/>
      <c r="O10" s="319"/>
      <c r="P10" s="319"/>
      <c r="Q10" s="319"/>
      <c r="R10" s="319"/>
      <c r="S10" s="319"/>
      <c r="T10" s="319"/>
      <c r="U10" s="319"/>
      <c r="V10" s="319"/>
      <c r="W10" s="319"/>
      <c r="X10" s="317"/>
      <c r="Y10" s="312"/>
      <c r="Z10" s="312"/>
      <c r="AA10" s="312"/>
      <c r="AB10" s="312"/>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costs'!$B$18*'Per patient Arm 2'!AU10</f>
        <v>0</v>
      </c>
      <c r="BA10"/>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342"/>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319"/>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costs'!$B$18*'Per patient Arm 2'!AU11</f>
        <v>0</v>
      </c>
      <c r="BA11"/>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ht="25.5" customHeight="1">
      <c r="A12" s="342"/>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319"/>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costs'!$B$18*'Per patient Arm 2'!AU12</f>
        <v>0</v>
      </c>
      <c r="BA12"/>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ht="27.75" customHeight="1">
      <c r="A13" s="342"/>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319"/>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costs'!$B$18*'Per patient Arm 2'!AU13</f>
        <v>0</v>
      </c>
      <c r="BA13"/>
      <c r="BC13" s="2">
        <f>H13*G13</f>
        <v>0</v>
      </c>
      <c r="BD13" s="2" t="b">
        <f>IF('Study Information &amp; rates'!$B$43='Study Information &amp; rates'!$V$12,BC13*IF('Study Information &amp; rates'!$B$43='Study Information &amp; rates'!$V$12,0.287,0))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342"/>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319"/>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costs'!$B$18*'Per patient Arm 2'!AU14</f>
        <v>0</v>
      </c>
      <c r="BA14"/>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ht="17.25" customHeight="1">
      <c r="A15" s="342"/>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319"/>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costs'!$B$18*'Per patient Arm 2'!AU15</f>
        <v>0</v>
      </c>
      <c r="BA15"/>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320"/>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319"/>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costs'!$B$18*'Per patient Arm 2'!AU16</f>
        <v>0</v>
      </c>
      <c r="BA16"/>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320"/>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319"/>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costs'!$B$18*'Per patient Arm 2'!AU17</f>
        <v>0</v>
      </c>
      <c r="BA17"/>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320"/>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319"/>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costs'!$B$18*'Per patient Arm 2'!AU18</f>
        <v>0</v>
      </c>
      <c r="BA18"/>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320"/>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319"/>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costs'!$B$18*'Per patient Arm 2'!AU19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320"/>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319"/>
      <c r="O20" s="319"/>
      <c r="P20" s="319"/>
      <c r="Q20" s="319"/>
      <c r="R20" s="319"/>
      <c r="S20" s="319"/>
      <c r="T20" s="319"/>
      <c r="U20" s="319"/>
      <c r="V20" s="319"/>
      <c r="W20" s="319"/>
      <c r="X20" s="316"/>
      <c r="Y20" s="313"/>
      <c r="Z20" s="313"/>
      <c r="AA20" s="313"/>
      <c r="AB20" s="313"/>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costs'!$B$18*'Per patient Arm 2'!AU20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320"/>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319"/>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costs'!$B$18*'Per patient Arm 2'!AU21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320"/>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319"/>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costs'!$B$18*'Per patient Arm 2'!AU22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320"/>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319"/>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costs'!$B$18*'Per patient Arm 2'!AU23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320"/>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319"/>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costs'!$B$18*'Per patient Arm 2'!AU24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320"/>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319"/>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costs'!$B$18*'Per patient Arm 2'!AU25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320"/>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319"/>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costs'!$B$18*'Per patient Arm 2'!AU26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320"/>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319"/>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costs'!$B$18*'Per patient Arm 2'!AU27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320"/>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319"/>
      <c r="O28" s="319"/>
      <c r="P28" s="319"/>
      <c r="Q28" s="319"/>
      <c r="R28" s="319"/>
      <c r="S28" s="319"/>
      <c r="T28" s="319"/>
      <c r="U28" s="319"/>
      <c r="V28" s="319"/>
      <c r="W28" s="319"/>
      <c r="X28" s="317"/>
      <c r="Y28" s="312"/>
      <c r="Z28" s="312"/>
      <c r="AA28" s="312"/>
      <c r="AB28" s="312"/>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costs'!$B$18*'Per patient Arm 2'!AU28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320"/>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02"/>
      <c r="I29" s="302"/>
      <c r="J29" s="302"/>
      <c r="K29" s="302"/>
      <c r="L29" s="302"/>
      <c r="M29" s="302"/>
      <c r="N29" s="319"/>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costs'!$B$18*'Per patient Arm 2'!AU29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319"/>
      <c r="N30" s="319"/>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costs'!$B$18*'Per patient Arm 2'!AU30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181"/>
      <c r="D31" s="181"/>
      <c r="E31" s="181"/>
      <c r="F31" s="18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8"/>
      <c r="I31" s="8"/>
      <c r="J31" s="8"/>
      <c r="K31" s="8"/>
      <c r="L31" s="8"/>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costs'!$B$18*'Per patient Arm 2'!AU31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11"/>
      <c r="D32" s="181"/>
      <c r="E32" s="311"/>
      <c r="F32" s="31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costs'!$B$18*'Per patient Arm 2'!AU32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costs'!$B$18*'Per patient Arm 2'!AU33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costs'!$B$18*'Per patient Arm 2'!AU34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310"/>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costs'!$B$18*'Per patient Arm 2'!AU35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310"/>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costs'!$B$18*'Per patient Arm 2'!AU36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310"/>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costs'!$B$18*'Per patient Arm 2'!AU37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310"/>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costs'!$B$18*'Per patient Arm 2'!AU38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310"/>
      <c r="B39" s="8"/>
      <c r="C39" s="311"/>
      <c r="D39" s="181"/>
      <c r="E39" s="31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costs'!$B$18*'Per patient Arm 2'!AU39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320"/>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costs'!$B$18*'Per patient Arm 2'!AU40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320"/>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5"/>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costs'!$B$18*'Per patient Arm 2'!AU41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320"/>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costs'!$B$18*'Per patient Arm 2'!AU42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19"/>
      <c r="I43" s="319"/>
      <c r="J43" s="319"/>
      <c r="K43" s="319"/>
      <c r="L43" s="319"/>
      <c r="M43" s="319"/>
      <c r="N43" s="319"/>
      <c r="O43" s="319"/>
      <c r="P43" s="319"/>
      <c r="Q43" s="319"/>
      <c r="R43" s="319"/>
      <c r="S43" s="319"/>
      <c r="T43" s="319"/>
      <c r="U43" s="319"/>
      <c r="V43" s="319"/>
      <c r="W43" s="319"/>
      <c r="X43" s="318"/>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costs'!$B$18*'Per patient Arm 2'!AU43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costs'!$B$18*'Per patient Arm 2'!AU44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costs'!$B$18*'Per patient Arm 2'!AU45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181"/>
      <c r="D46" s="181"/>
      <c r="E46" s="181"/>
      <c r="F46" s="181"/>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costs'!$B$18*'Per patient Arm 2'!AU46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costs'!$B$18*'Per patient Arm 2'!AU47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costs'!$B$18*'Per patient Arm 2'!AU48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72"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costs'!$B$18*'Per patient Arm 2'!AU49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c r="BQ49" s="6">
        <f>SUM(BQ8:BQ48)</f>
        <v>0</v>
      </c>
      <c r="BR49" s="6">
        <f>SUM(BR8:BR48)</f>
        <v>0</v>
      </c>
      <c r="BS49" s="6">
        <f>SUM(BS8:BS48)</f>
        <v>0</v>
      </c>
      <c r="BT49" s="6">
        <f>SUM(BT8:BT48)</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costs'!$B$18*'Per patient Arm 2'!AU50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costs'!$B$18*'Per patient Arm 2'!AU51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costs'!$B$18*'Per patient Arm 2'!AU52</f>
        <v>0</v>
      </c>
    </row>
    <row r="53" spans="1:48" ht="15.5">
      <c r="A53" s="19" t="s">
        <v>22</v>
      </c>
      <c r="B53" s="19"/>
      <c r="C53" s="13"/>
      <c r="D53" s="13"/>
      <c r="E53" s="13"/>
      <c r="F53" s="13"/>
      <c r="G53" s="13"/>
      <c r="AQ53" s="452"/>
      <c r="AR53" s="509">
        <f>AR52-AR47</f>
        <v>0</v>
      </c>
      <c r="AS53" s="508"/>
      <c r="AT53" s="508"/>
      <c r="AU53" s="509">
        <f>AU52-AU47</f>
        <v>0</v>
      </c>
      <c r="AV53" s="509">
        <f>AV52*30</f>
        <v>0</v>
      </c>
    </row>
    <row r="54" spans="1:48">
      <c r="A54" s="16"/>
      <c r="B54" s="16"/>
      <c r="AQ54" s="452"/>
      <c r="AR54" s="508"/>
      <c r="AS54" s="508"/>
      <c r="AT54" s="508"/>
      <c r="AU54" s="508"/>
      <c r="AV54" s="509">
        <f>AV53*2</f>
        <v>0</v>
      </c>
    </row>
    <row r="55" spans="1:48" ht="43.5" customHeight="1">
      <c r="A55" s="444" t="s">
        <v>20</v>
      </c>
      <c r="B55" s="428" t="s">
        <v>2058</v>
      </c>
      <c r="C55" s="463" t="s">
        <v>2023</v>
      </c>
      <c r="D55" s="464"/>
      <c r="E55" s="464"/>
      <c r="F55" s="443"/>
      <c r="G55" s="444" t="s">
        <v>21</v>
      </c>
      <c r="H55" s="428" t="s">
        <v>58</v>
      </c>
      <c r="I55" s="428" t="s">
        <v>2078</v>
      </c>
      <c r="J55" s="428" t="s">
        <v>2079</v>
      </c>
      <c r="K55" s="428" t="s">
        <v>2080</v>
      </c>
      <c r="L55" s="428" t="s">
        <v>2081</v>
      </c>
      <c r="M55" s="428" t="s">
        <v>2082</v>
      </c>
      <c r="N55" s="428" t="s">
        <v>2083</v>
      </c>
      <c r="O55" s="428" t="s">
        <v>2084</v>
      </c>
      <c r="P55" s="428" t="s">
        <v>2085</v>
      </c>
      <c r="Q55" s="428" t="s">
        <v>2086</v>
      </c>
      <c r="R55" s="428" t="s">
        <v>2087</v>
      </c>
      <c r="S55" s="428" t="s">
        <v>2088</v>
      </c>
      <c r="T55" s="428" t="s">
        <v>2089</v>
      </c>
      <c r="U55" s="428" t="s">
        <v>2090</v>
      </c>
      <c r="V55" s="428" t="s">
        <v>2091</v>
      </c>
      <c r="W55" s="428" t="s">
        <v>2092</v>
      </c>
      <c r="X55" s="428" t="s">
        <v>2093</v>
      </c>
      <c r="Y55" s="428" t="s">
        <v>2094</v>
      </c>
      <c r="Z55" s="428" t="s">
        <v>2095</v>
      </c>
      <c r="AA55" s="428" t="s">
        <v>2096</v>
      </c>
      <c r="AB55" s="428" t="s">
        <v>1902</v>
      </c>
      <c r="AC55" s="428" t="s">
        <v>1903</v>
      </c>
      <c r="AD55" s="428" t="s">
        <v>1904</v>
      </c>
      <c r="AE55" s="428" t="s">
        <v>1948</v>
      </c>
      <c r="AF55" s="428" t="s">
        <v>1949</v>
      </c>
      <c r="AG55" s="428" t="s">
        <v>1950</v>
      </c>
      <c r="AH55" s="428" t="s">
        <v>1951</v>
      </c>
      <c r="AI55" s="428" t="s">
        <v>1952</v>
      </c>
      <c r="AJ55" s="428" t="s">
        <v>1953</v>
      </c>
      <c r="AK55" s="428" t="s">
        <v>1954</v>
      </c>
      <c r="AL55" s="428" t="s">
        <v>1955</v>
      </c>
      <c r="AM55" s="428" t="s">
        <v>1956</v>
      </c>
      <c r="AN55" s="428" t="s">
        <v>1957</v>
      </c>
      <c r="AO55" s="428" t="s">
        <v>1958</v>
      </c>
      <c r="AP55" s="428" t="s">
        <v>1959</v>
      </c>
      <c r="AQ55" s="432"/>
      <c r="AR55" s="437" t="s">
        <v>3</v>
      </c>
      <c r="AS55" s="437" t="s">
        <v>5</v>
      </c>
      <c r="AT55" s="437" t="s">
        <v>1852</v>
      </c>
      <c r="AU55" s="437" t="s">
        <v>1854</v>
      </c>
      <c r="AV55" s="437" t="s">
        <v>2250</v>
      </c>
    </row>
    <row r="56" spans="1:67" ht="33" customHeight="1">
      <c r="A56" s="329"/>
      <c r="B56" s="8"/>
      <c r="C56" s="442"/>
      <c r="D56" s="457"/>
      <c r="E56" s="457"/>
      <c r="F56" s="441"/>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2'!AU56</f>
        <v>0</v>
      </c>
      <c r="BG56" s="6" t="b">
        <f>IF($B56='Look Up'!$A$5,$H56)</f>
        <v>0</v>
      </c>
      <c r="BH56" s="6" t="b">
        <f>IF($B56='Look Up'!$A$6,$H56)</f>
        <v>0</v>
      </c>
      <c r="BI56" s="6" t="b">
        <f>IF($B56='Look Up'!$A$7,$H56)</f>
        <v>0</v>
      </c>
      <c r="BJ56" s="6" t="b">
        <f>IF($B56='Look Up'!$A$7,$H56)</f>
        <v>0</v>
      </c>
      <c r="BO56" s="6" t="str">
        <f>C56&amp;B56</f>
        <v/>
      </c>
    </row>
    <row r="57" spans="1:67" ht="27.75" customHeight="1">
      <c r="A57" s="329"/>
      <c r="B57" s="8"/>
      <c r="C57" s="442"/>
      <c r="D57" s="440"/>
      <c r="E57" s="440"/>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costs'!$B$18*'Per patient Arm 2'!AU57</f>
        <v>0</v>
      </c>
      <c r="BG57" s="6" t="b">
        <f>IF($B57='Look Up'!$A$5,$H57)</f>
        <v>0</v>
      </c>
      <c r="BH57" s="6" t="b">
        <f>IF($B57='Look Up'!$A$6,$H57)</f>
        <v>0</v>
      </c>
      <c r="BI57" s="6" t="b">
        <f>IF($B57='Look Up'!$A$7,$H57)</f>
        <v>0</v>
      </c>
      <c r="BJ57" s="6" t="b">
        <f>IF($B57='Look Up'!$A$7,$H57)</f>
        <v>0</v>
      </c>
      <c r="BO57" s="6" t="str">
        <f>C57&amp;B57</f>
        <v/>
      </c>
    </row>
    <row r="58" spans="1:67" ht="15.5">
      <c r="A58" s="329"/>
      <c r="B58" s="8"/>
      <c r="C58" s="442"/>
      <c r="D58" s="440"/>
      <c r="E58" s="440"/>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costs'!$B$18*'Per patient Arm 2'!AU58</f>
        <v>0</v>
      </c>
      <c r="BG58" s="6" t="b">
        <f>IF($B58='Look Up'!$A$5,$H58)</f>
        <v>0</v>
      </c>
      <c r="BH58" s="6" t="b">
        <f>IF($B58='Look Up'!$A$6,$H58)</f>
        <v>0</v>
      </c>
      <c r="BI58" s="6" t="b">
        <f>IF($B58='Look Up'!$A$7,$H58)</f>
        <v>0</v>
      </c>
      <c r="BJ58" s="6" t="b">
        <f>IF($B58='Look Up'!$A$7,$H58)</f>
        <v>0</v>
      </c>
      <c r="BO58" s="6" t="str">
        <f>C58&amp;B58</f>
        <v/>
      </c>
    </row>
    <row r="59" spans="1:67" ht="15.5">
      <c r="A59" s="329"/>
      <c r="B59" s="8"/>
      <c r="C59" s="442"/>
      <c r="D59" s="440"/>
      <c r="E59" s="440"/>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costs'!$B$18*'Per patient Arm 2'!AU59</f>
        <v>0</v>
      </c>
      <c r="BG59" s="6" t="b">
        <f>IF($B59='Look Up'!$A$5,$H59)</f>
        <v>0</v>
      </c>
      <c r="BH59" s="6" t="b">
        <f>IF($B59='Look Up'!$A$6,$H59)</f>
        <v>0</v>
      </c>
      <c r="BI59" s="6" t="b">
        <f>IF($B59='Look Up'!$A$7,$H59)</f>
        <v>0</v>
      </c>
      <c r="BJ59" s="6" t="b">
        <f>IF($B59='Look Up'!$A$7,$H59)</f>
        <v>0</v>
      </c>
      <c r="BO59" s="6" t="str">
        <f>C59&amp;B59</f>
        <v/>
      </c>
    </row>
    <row r="60" spans="1:67" ht="15.75" customHeight="1">
      <c r="A60" s="329"/>
      <c r="B60" s="8"/>
      <c r="C60" s="442"/>
      <c r="D60" s="440"/>
      <c r="E60" s="440"/>
      <c r="F60" s="460"/>
      <c r="G60" s="461">
        <f>IF(ISERROR(VLOOKUP(A60,'Data Sheet Costs'!$A:$C,3,FALSE)),0,VLOOKUP(A60,'Data Sheet Costs'!$A:$C,3,FALSE))</f>
        <v>0</v>
      </c>
      <c r="H60" s="319"/>
      <c r="I60" s="319"/>
      <c r="J60" s="319"/>
      <c r="K60" s="319"/>
      <c r="L60" s="319"/>
      <c r="M60" s="319"/>
      <c r="N60" s="319"/>
      <c r="O60" s="319"/>
      <c r="P60" s="319"/>
      <c r="Q60" s="319"/>
      <c r="R60" s="319"/>
      <c r="S60" s="319"/>
      <c r="T60" s="319"/>
      <c r="U60" s="319"/>
      <c r="V60" s="319"/>
      <c r="W60" s="319"/>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costs'!$B$18*'Per patient Arm 2'!AU60</f>
        <v>0</v>
      </c>
      <c r="BG60" s="6" t="b">
        <f>IF($B60='Look Up'!$A$5,$H60)</f>
        <v>0</v>
      </c>
      <c r="BH60" s="6" t="b">
        <f>IF($B60='Look Up'!$A$6,$H60)</f>
        <v>0</v>
      </c>
      <c r="BI60" s="6" t="b">
        <f>IF($B60='Look Up'!$A$7,$H60)</f>
        <v>0</v>
      </c>
      <c r="BJ60" s="6" t="b">
        <f>IF($B60='Look Up'!$A$7,$H60)</f>
        <v>0</v>
      </c>
      <c r="BO60" s="6" t="str">
        <f>C60&amp;B60</f>
        <v/>
      </c>
    </row>
    <row r="61" spans="1:67" ht="16.5" customHeight="1">
      <c r="A61" s="329"/>
      <c r="B61" s="8"/>
      <c r="C61" s="442"/>
      <c r="D61" s="440"/>
      <c r="E61" s="440"/>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costs'!$B$18*'Per patient Arm 2'!AU61</f>
        <v>0</v>
      </c>
      <c r="BG61" s="6" t="b">
        <f>IF($B61='Look Up'!$A$5,$H61)</f>
        <v>0</v>
      </c>
      <c r="BH61" s="6" t="b">
        <f>IF($B61='Look Up'!$A$6,$H61)</f>
        <v>0</v>
      </c>
      <c r="BI61" s="6" t="b">
        <f>IF($B61='Look Up'!$A$7,$H61)</f>
        <v>0</v>
      </c>
      <c r="BJ61" s="6" t="b">
        <f>IF($B61='Look Up'!$A$7,$H61)</f>
        <v>0</v>
      </c>
      <c r="BO61" s="6" t="str">
        <f>C61&amp;B61</f>
        <v/>
      </c>
    </row>
    <row r="62" spans="1:67" ht="15.75" customHeight="1">
      <c r="A62" s="329"/>
      <c r="B62" s="8"/>
      <c r="C62" s="442"/>
      <c r="D62" s="440"/>
      <c r="E62" s="440"/>
      <c r="F62" s="460"/>
      <c r="G62" s="461">
        <f>IF(ISERROR(VLOOKUP(A62,'Data Sheet Costs'!$A:$C,3,FALSE)),0,VLOOKUP(A62,'Data Sheet Costs'!$A:$C,3,FALSE))</f>
        <v>0</v>
      </c>
      <c r="H62" s="302"/>
      <c r="I62" s="303"/>
      <c r="J62" s="302"/>
      <c r="K62" s="302"/>
      <c r="L62" s="302"/>
      <c r="M62" s="302"/>
      <c r="N62" s="302"/>
      <c r="O62" s="302"/>
      <c r="P62" s="303"/>
      <c r="Q62" s="302"/>
      <c r="R62" s="303"/>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costs'!$B$18*'Per patient Arm 2'!AU62</f>
        <v>0</v>
      </c>
      <c r="BG62" s="6" t="b">
        <f>IF($B62='Look Up'!$A$5,$H62)</f>
        <v>0</v>
      </c>
      <c r="BH62" s="6" t="b">
        <f>IF($B62='Look Up'!$A$6,$H62)</f>
        <v>0</v>
      </c>
      <c r="BI62" s="6" t="b">
        <f>IF($B62='Look Up'!$A$7,$H62)</f>
        <v>0</v>
      </c>
      <c r="BJ62" s="6" t="b">
        <f>IF($B62='Look Up'!$A$7,$H62)</f>
        <v>0</v>
      </c>
      <c r="BO62" s="6" t="str">
        <f>C62&amp;B62</f>
        <v/>
      </c>
    </row>
    <row r="63" spans="1:67">
      <c r="A63" s="301"/>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costs'!$B$18*'Per patient Arm 2'!AU63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costs'!$B$18*'Per patient Arm 2'!AU64</f>
        <v>0</v>
      </c>
      <c r="BG64" s="6" t="b">
        <f>IF($B64='Look Up'!$A$5,$H64)</f>
        <v>0</v>
      </c>
      <c r="BH64" s="6" t="b">
        <f>IF($B64='Look Up'!$A$6,$H64)</f>
        <v>0</v>
      </c>
      <c r="BI64" s="6" t="b">
        <f>IF($B64='Look Up'!$A$7,$H64)</f>
        <v>0</v>
      </c>
      <c r="BJ64" s="6" t="b">
        <f>IF($B64='Look Up'!$A$7,$H64)</f>
        <v>0</v>
      </c>
      <c r="BO64" s="6" t="str">
        <f>C64&amp;B64</f>
        <v/>
      </c>
    </row>
    <row r="65" spans="1:67" ht="15.75" customHeight="1">
      <c r="A65" s="301"/>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costs'!$B$18*'Per patient Arm 2'!AU65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costs'!$B$18*'Per patient Arm 2'!AU66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costs'!$B$18*'Per patient Arm 2'!AU67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costs'!$B$18*'Per patient Arm 2'!AU68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costs'!$B$18*'Per patient Arm 2'!AU69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costs'!$B$18*'Per patient Arm 2'!AU70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costs'!$B$18*'Per patient Arm 2'!AU71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costs'!$B$18*'Per patient Arm 2'!AU72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costs'!$B$18*'Per patient Arm 2'!AU73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costs'!$B$18*'Per patient Arm 2'!AU74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costs'!$B$18*'Per patient Arm 2'!AU75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costs'!$B$18*'Per patient Arm 2'!AU76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costs'!$B$18*'Per patient Arm 2'!AU77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costs'!$B$18*'Per patient Arm 2'!AU78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costs'!$B$18*'Per patient Arm 2'!AU79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costs'!$B$18*'Per patient Arm 2'!AU80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costs'!$B$18*'Per patient Arm 2'!AU81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costs'!$B$18*'Per patient Arm 2'!AU82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costs'!$B$18*'Per patient Arm 2'!AQ85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costs'!$B$18*'Per patient Arm 2'!AQ86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costs'!$B$18*'Per patient Arm 2'!AQ87</f>
        <v>0</v>
      </c>
      <c r="AS87" s="508"/>
      <c r="AT87" s="508"/>
      <c r="AU87" s="508"/>
      <c r="AV87" s="509" t="b">
        <f>G555=AV50+AV82</f>
        <v>1</v>
      </c>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costs'!$B$18*'Per patient Arm 2'!AQ88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costs'!$B$18*'Per patient Arm 2'!AQ89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costs'!$B$18*'Per patient Arm 2'!AQ92</f>
        <v>0</v>
      </c>
      <c r="AS92" s="508"/>
      <c r="AT92" s="509"/>
      <c r="AU92" s="509"/>
      <c r="AV92" s="509"/>
      <c r="BG92" s="2">
        <f>SUM(BF85:BF89)</f>
        <v>0</v>
      </c>
    </row>
    <row r="93" spans="1:48" ht="13.5" thickBot="1">
      <c r="A93" s="38"/>
      <c r="AR93" s="509">
        <f>AR92*8</f>
        <v>0</v>
      </c>
      <c r="AS93" s="508"/>
      <c r="AT93" s="509"/>
      <c r="AU93" s="509"/>
      <c r="AV93" s="509"/>
    </row>
  </sheetData>
  <sheetProtection algorithmName="SHA-512" hashValue="nbc+p+jT0tk+UCnZR9bvRcyBLOf8TEZHYhJL3r/ZkwD31mBNka8VZ36sofyv2jJD16d7PwNsE182iRekTXBbFg==" saltValue="+jXVAFLR/Xqw5qpTipY30Q==" spinCount="100000" sheet="1" objects="1" scenarios="1"/>
  <conditionalFormatting sqref="AW51:AZ51 B2 BG85:BG88">
    <cfRule type="containsText" dxfId="70" operator="containsText" text="False" priority="5">
      <formula>NOT(ISERROR(SEARCH("False",B2)))</formula>
    </cfRule>
    <cfRule type="containsText" dxfId="71" operator="containsText" text="True" priority="6">
      <formula>NOT(ISERROR(SEARCH("True",B2)))</formula>
    </cfRule>
  </conditionalFormatting>
  <dataValidations count="9">
    <dataValidation type="list" allowBlank="1" showInputMessage="1" prompt="Please use the drop-down to select the activity type.  If the activity is not in the list, please enter the activity as free text." sqref="A8:A34 A56:A57">
      <formula1>INDIRECT(SUBSTITUTE($A8," ","_"))</formula1>
    </dataValidation>
    <dataValidation type="whole" operator="greaterThan" allowBlank="1" showInputMessage="1" showErrorMessage="1" sqref="H56:N60 AC56:AQ56 H8:AQ46">
      <formula1>0</formula1>
    </dataValidation>
    <dataValidation type="list" allowBlank="1" showInputMessage="1" sqref="A63: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58:A62 A35:A46">
      <formula1>'[1]#REF'!#REF!</formula1>
    </dataValidation>
    <dataValidation type="list" allowBlank="1" showInputMessage="1" showErrorMessage="1" sqref="B56:B81">
      <formula1>'Look Up'!A55:A59</formula1>
    </dataValidation>
    <dataValidation type="list" allowBlank="1" showInputMessage="1" showErrorMessage="1" sqref="B8:B46">
      <formula1>'Look Up'!A5:A9</formula1>
    </dataValidation>
    <dataValidation type="list" allowBlank="1" showInputMessage="1" showErrorMessage="1" sqref="BA1:BA2">
      <formula1>'Look Up'!A5:A7</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tabColor rgb="FFFF0000"/>
  </sheetPr>
  <dimension ref="A1:BU92"/>
  <sheetViews>
    <sheetView topLeftCell="A1" zoomScale="80" view="normal" workbookViewId="0">
      <pane xSplit="1" ySplit="7" topLeftCell="B8" activePane="bottomRight" state="frozen"/>
      <selection pane="bottomRight" activeCell="D1" sqref="D1"/>
    </sheetView>
  </sheetViews>
  <sheetFormatPr defaultColWidth="9.1796875" defaultRowHeight="13"/>
  <cols>
    <col min="1" max="1" width="52.140625" style="6" customWidth="1"/>
    <col min="2" max="2" width="22.27734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10"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327"/>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507">
        <f>SUM(AS8:AS46)</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rates'!$B$43='Study Information &amp; rates'!$V$12,AR48*0.287,0)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rates'!$B$43='Study Information &amp; rates'!$V$12,AR49*0.287,0)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rates'!$B$43='Study Information &amp; rates'!$V$12,AR50*0.287,0)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rates'!$B$43='Study Information &amp; rates'!$V$12,AR51*0.287,0)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72" operator="containsText" text="False" priority="5">
      <formula>NOT(ISERROR(SEARCH("False",AW51)))</formula>
    </cfRule>
    <cfRule type="containsText" dxfId="73" operator="containsText" text="True" priority="6">
      <formula>NOT(ISERROR(SEARCH("True",AW51)))</formula>
    </cfRule>
  </conditionalFormatting>
  <conditionalFormatting sqref="B2">
    <cfRule type="containsText" dxfId="74" operator="containsText" text="False" priority="3">
      <formula>NOT(ISERROR(SEARCH("False",B2)))</formula>
    </cfRule>
    <cfRule type="containsText" dxfId="75" operator="containsText" text="True" priority="4">
      <formula>NOT(ISERROR(SEARCH("True",B2)))</formula>
    </cfRule>
  </conditionalFormatting>
  <conditionalFormatting sqref="BG85:BG88">
    <cfRule type="containsText" dxfId="76" operator="containsText" text="False" priority="1">
      <formula>NOT(ISERROR(SEARCH("False",BG85)))</formula>
    </cfRule>
    <cfRule type="containsText" dxfId="77"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7">
    <tabColor rgb="FFFF0000"/>
  </sheetPr>
  <dimension ref="A1:BU92"/>
  <sheetViews>
    <sheetView topLeftCell="A1" zoomScale="80" view="normal" workbookViewId="0">
      <pane xSplit="1" ySplit="7" topLeftCell="B8" activePane="bottomRight" state="frozen"/>
      <selection pane="bottomRight" activeCell="C4" sqref="C4"/>
    </sheetView>
  </sheetViews>
  <sheetFormatPr defaultColWidth="9.1796875" defaultRowHeight="13"/>
  <cols>
    <col min="1" max="1" width="52.140625" style="6" customWidth="1"/>
    <col min="2" max="2" width="19.84765625" style="6" customWidth="1"/>
    <col min="3" max="3" width="12.14062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0" width="9.140625" style="6" customWidth="1"/>
    <col min="51" max="51" width="9.7109375" style="6" customWidth="1"/>
    <col min="52"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231"/>
      <c r="AJ20" s="231"/>
      <c r="AK20" s="231"/>
      <c r="AL20" s="231"/>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327"/>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27"/>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327"/>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2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2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455">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5'!AU8</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1:48">
      <c r="A82" s="183"/>
      <c r="B82" s="183"/>
      <c r="C82" s="183"/>
      <c r="D82" s="183"/>
      <c r="E82" s="183"/>
      <c r="F82" s="183"/>
      <c r="G82" s="183"/>
      <c r="H82" s="467">
        <f>SUM(H56:H81)</f>
        <v>0</v>
      </c>
      <c r="I82" s="467">
        <f>SUM(I56:I81)</f>
        <v>0</v>
      </c>
      <c r="J82" s="467">
        <f>SUM(J56:J81)</f>
        <v>0</v>
      </c>
      <c r="K82" s="467">
        <f>SUM(K56:K81)</f>
        <v>0</v>
      </c>
      <c r="L82" s="467">
        <f>SUM(L56:L81)</f>
        <v>0</v>
      </c>
      <c r="M82" s="467">
        <f>SUM(M56:M81)</f>
        <v>0</v>
      </c>
      <c r="N82" s="467">
        <f>SUM(N56:N81)</f>
        <v>0</v>
      </c>
      <c r="O82" s="467">
        <f>SUM(O56:O81)</f>
        <v>0</v>
      </c>
      <c r="P82" s="467">
        <f>SUM(P56:P81)</f>
        <v>0</v>
      </c>
      <c r="Q82" s="467">
        <f>SUM(Q56:Q81)</f>
        <v>0</v>
      </c>
      <c r="R82" s="467">
        <f>SUM(R56:R81)</f>
        <v>0</v>
      </c>
      <c r="S82" s="467">
        <f>SUM(S56:S81)</f>
        <v>0</v>
      </c>
      <c r="T82" s="467">
        <f>SUM(T56:T81)</f>
        <v>0</v>
      </c>
      <c r="U82" s="467">
        <f>SUM(U56:U81)</f>
        <v>0</v>
      </c>
      <c r="V82" s="467">
        <f>SUM(V56:V81)</f>
        <v>0</v>
      </c>
      <c r="W82" s="467">
        <f>SUM(W56:W81)</f>
        <v>0</v>
      </c>
      <c r="X82" s="467">
        <f>SUM(X56:X81)</f>
        <v>0</v>
      </c>
      <c r="Y82" s="467">
        <f>SUM(Y56:Y81)</f>
        <v>0</v>
      </c>
      <c r="Z82" s="467">
        <f>SUM(Z56:Z81)</f>
        <v>0</v>
      </c>
      <c r="AA82" s="467">
        <f>SUM(AA56:AA81)</f>
        <v>0</v>
      </c>
      <c r="AB82" s="467">
        <f>SUM(AB56:AB81)</f>
        <v>0</v>
      </c>
      <c r="AC82" s="467">
        <f>SUM(AC56:AC81)</f>
        <v>0</v>
      </c>
      <c r="AD82" s="467">
        <f>SUM(AD56:AD81)</f>
        <v>0</v>
      </c>
      <c r="AE82" s="467">
        <f>SUM(AE56:AE81)</f>
        <v>0</v>
      </c>
      <c r="AF82" s="467">
        <f>SUM(AF56:AF81)</f>
        <v>0</v>
      </c>
      <c r="AG82" s="467">
        <f>SUM(AG56:AG81)</f>
        <v>0</v>
      </c>
      <c r="AH82" s="467">
        <f>SUM(AH56:AH81)</f>
        <v>0</v>
      </c>
      <c r="AI82" s="467">
        <f>SUM(AI56:AI81)</f>
        <v>0</v>
      </c>
      <c r="AJ82" s="467">
        <f>SUM(AJ56:AJ81)</f>
        <v>0</v>
      </c>
      <c r="AK82" s="467">
        <f>SUM(AK56:AK81)</f>
        <v>0</v>
      </c>
      <c r="AL82" s="467">
        <f>SUM(AL56:AL81)</f>
        <v>0</v>
      </c>
      <c r="AM82" s="467">
        <f>SUM(AM56:AM81)</f>
        <v>0</v>
      </c>
      <c r="AN82" s="467">
        <f>SUM(AN56:AN81)</f>
        <v>0</v>
      </c>
      <c r="AO82" s="467">
        <f>SUM(AO56:AO81)</f>
        <v>0</v>
      </c>
      <c r="AP82" s="467">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78" operator="containsText" text="False" priority="5">
      <formula>NOT(ISERROR(SEARCH("False",AW51)))</formula>
    </cfRule>
    <cfRule type="containsText" dxfId="79" operator="containsText" text="True" priority="6">
      <formula>NOT(ISERROR(SEARCH("True",AW51)))</formula>
    </cfRule>
  </conditionalFormatting>
  <conditionalFormatting sqref="B2">
    <cfRule type="containsText" dxfId="80" operator="containsText" text="False" priority="3">
      <formula>NOT(ISERROR(SEARCH("False",B2)))</formula>
    </cfRule>
    <cfRule type="containsText" dxfId="81" operator="containsText" text="True" priority="4">
      <formula>NOT(ISERROR(SEARCH("True",B2)))</formula>
    </cfRule>
  </conditionalFormatting>
  <conditionalFormatting sqref="BG85:BG88">
    <cfRule type="containsText" dxfId="82" operator="containsText" text="False" priority="1">
      <formula>NOT(ISERROR(SEARCH("False",BG85)))</formula>
    </cfRule>
    <cfRule type="containsText" dxfId="83"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rgb="FFFF0000"/>
  </sheetPr>
  <dimension ref="A1:BU92"/>
  <sheetViews>
    <sheetView topLeftCell="A1" zoomScale="80" view="normal" workbookViewId="0">
      <pane xSplit="1" ySplit="7" topLeftCell="B8" activePane="bottomRight" state="frozen"/>
      <selection pane="bottomRight" activeCell="M36" sqref="M36"/>
    </sheetView>
  </sheetViews>
  <sheetFormatPr defaultColWidth="9.1796875" defaultRowHeight="13"/>
  <cols>
    <col min="1" max="1" width="52.140625" style="6" customWidth="1"/>
    <col min="2" max="2" width="18.7109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2" width="11.27734375" style="6" customWidth="1"/>
    <col min="43" max="43" width="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v>1</v>
      </c>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1</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3:48">
      <c r="AQ83" s="452"/>
      <c r="AR83" s="508"/>
      <c r="AS83" s="508"/>
      <c r="AT83" s="508"/>
      <c r="AU83" s="508"/>
      <c r="AV83" s="508"/>
    </row>
    <row r="84" spans="43:48" ht="13.5" thickBot="1">
      <c r="AQ84" s="452"/>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84" operator="containsText" text="False" priority="5">
      <formula>NOT(ISERROR(SEARCH("False",AW51)))</formula>
    </cfRule>
    <cfRule type="containsText" dxfId="85" operator="containsText" text="True" priority="6">
      <formula>NOT(ISERROR(SEARCH("True",AW51)))</formula>
    </cfRule>
  </conditionalFormatting>
  <conditionalFormatting sqref="B2">
    <cfRule type="containsText" dxfId="86" operator="containsText" text="False" priority="3">
      <formula>NOT(ISERROR(SEARCH("False",B2)))</formula>
    </cfRule>
    <cfRule type="containsText" dxfId="87" operator="containsText" text="True" priority="4">
      <formula>NOT(ISERROR(SEARCH("True",B2)))</formula>
    </cfRule>
  </conditionalFormatting>
  <conditionalFormatting sqref="BG85:BG88">
    <cfRule type="containsText" dxfId="88" operator="containsText" text="False" priority="1">
      <formula>NOT(ISERROR(SEARCH("False",BG85)))</formula>
    </cfRule>
    <cfRule type="containsText" dxfId="89" operator="containsText" text="True" priority="2">
      <formula>NOT(ISERROR(SEARCH("True",BG85)))</formula>
    </cfRule>
  </conditionalFormatting>
  <dataValidations count="6">
    <dataValidation type="whole" operator="greaterThan" allowBlank="1" showInputMessage="1" showErrorMessage="1" sqref="H56:AQ56 H8:AQ46">
      <formula1>0</formula1>
    </dataValidation>
    <dataValidation type="list" allowBlank="1" showInputMessage="1" sqref="A8:A46 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5">
    <tabColor rgb="FFFF0000"/>
  </sheetPr>
  <dimension ref="A1:W64"/>
  <sheetViews>
    <sheetView zoomScale="85" view="normal" workbookViewId="0">
      <selection pane="topLeft" activeCell="A8" sqref="A8"/>
    </sheetView>
  </sheetViews>
  <sheetFormatPr defaultRowHeight="12.5"/>
  <cols>
    <col min="1" max="2" width="41.7109375" customWidth="1"/>
    <col min="3" max="3" width="20.140625" customWidth="1"/>
    <col min="4" max="4" width="13.5703125" customWidth="1"/>
    <col min="6" max="6" width="9.140625" customWidth="1"/>
    <col min="10" max="10" width="22.41796875" customWidth="1"/>
    <col min="11" max="12" width="11.5703125" customWidth="1"/>
    <col min="13" max="13" width="11.5703125" hidden="1" customWidth="1"/>
    <col min="14" max="14" width="12.7109375" bestFit="1" customWidth="1"/>
    <col min="15" max="15" width="11.27734375" customWidth="1"/>
    <col min="16" max="19" width="9.140625" hidden="1" customWidth="1"/>
    <col min="20" max="23" width="9.140625" customWidth="1"/>
  </cols>
  <sheetData>
    <row r="1" spans="1:4" ht="15.5">
      <c r="A1" s="21" t="s">
        <v>36</v>
      </c>
      <c r="B1" s="21"/>
      <c r="C1" s="21"/>
      <c r="D1" s="21"/>
    </row>
    <row r="3" spans="1:14" ht="42" customHeight="1">
      <c r="A3" s="428" t="s">
        <v>29</v>
      </c>
      <c r="B3" s="428" t="s">
        <v>2150</v>
      </c>
      <c r="C3" s="428" t="s">
        <v>2149</v>
      </c>
      <c r="D3" s="428" t="s">
        <v>2058</v>
      </c>
      <c r="E3" s="428" t="s">
        <v>1981</v>
      </c>
      <c r="F3" s="428" t="s">
        <v>1982</v>
      </c>
      <c r="G3" s="428" t="s">
        <v>9</v>
      </c>
      <c r="H3" s="428" t="s">
        <v>30</v>
      </c>
      <c r="I3" s="428" t="s">
        <v>8</v>
      </c>
      <c r="J3" s="10" t="s">
        <v>2</v>
      </c>
      <c r="K3" s="9" t="s">
        <v>5</v>
      </c>
      <c r="L3" s="9" t="s">
        <v>1852</v>
      </c>
      <c r="M3" s="428" t="s">
        <v>2249</v>
      </c>
      <c r="N3" s="428" t="s">
        <v>2279</v>
      </c>
    </row>
    <row r="4" spans="1:17" ht="13">
      <c r="A4" s="325" t="s">
        <v>2490</v>
      </c>
      <c r="B4" s="325"/>
      <c r="C4" s="325"/>
      <c r="D4" s="8"/>
      <c r="E4" s="326"/>
      <c r="F4" s="326"/>
      <c r="G4" s="326"/>
      <c r="H4" s="326"/>
      <c r="I4" s="326"/>
      <c r="J4" s="530">
        <f>(E4*'Study Information &amp; rates'!$B$101)+('Additional Study Activities'!F4*'Study Information &amp; rates'!$C$101)+('Additional Study Activities'!G4*'Study Information &amp; rates'!$D$101)+('Additional Study Activities'!H4*'Study Information &amp; rates'!$E$101)+('Additional Study Activities'!I4*'Study Information &amp; rates'!$F$101)</f>
        <v>0</v>
      </c>
      <c r="K4" s="438">
        <f>IF('Study Information &amp; rates'!$B$43="Yes",J4*0.287,0)</f>
        <v>0</v>
      </c>
      <c r="L4" s="438">
        <f>IF('Study Information &amp; rates'!$B$43="No",0,J4*0.05)</f>
        <v>0</v>
      </c>
      <c r="M4" s="537">
        <f>J4+K4+L4</f>
        <v>0</v>
      </c>
      <c r="N4" s="537">
        <f>'Set-up and other costs'!$B$18*'Additional Study Activities'!M4</f>
        <v>0</v>
      </c>
      <c r="Q4" t="str">
        <f>'Look Up'!$A$13&amp;'Additional Study Activities'!D4</f>
        <v>Additional Staff Costs</v>
      </c>
    </row>
    <row r="5" spans="1:17" ht="13">
      <c r="A5" s="325" t="s">
        <v>2491</v>
      </c>
      <c r="B5" s="325"/>
      <c r="C5" s="325"/>
      <c r="D5" s="8"/>
      <c r="E5" s="326"/>
      <c r="F5" s="326"/>
      <c r="G5" s="326"/>
      <c r="H5" s="326"/>
      <c r="I5" s="326"/>
      <c r="J5" s="530">
        <f>(E5*'Study Information &amp; rates'!$B$101)+('Additional Study Activities'!F5*'Study Information &amp; rates'!$C$101)+('Additional Study Activities'!G5*'Study Information &amp; rates'!$D$101)+('Additional Study Activities'!H5*'Study Information &amp; rates'!$E$101)+('Additional Study Activities'!I5*'Study Information &amp; rates'!$F$101)</f>
        <v>0</v>
      </c>
      <c r="K5" s="438">
        <f>IF('Study Information &amp; rates'!$B$43="Yes",J5*0.287,0)</f>
        <v>0</v>
      </c>
      <c r="L5" s="438">
        <f>IF('Study Information &amp; rates'!$B$43="No",0,J5*0.05)</f>
        <v>0</v>
      </c>
      <c r="M5" s="537">
        <f>J5+K5+L5</f>
        <v>0</v>
      </c>
      <c r="N5" s="537">
        <f>'Set-up and other costs'!$B$18*'Additional Study Activities'!M5</f>
        <v>0</v>
      </c>
      <c r="Q5" t="str">
        <f>'Look Up'!$A$13&amp;'Additional Study Activities'!D5</f>
        <v>Additional Staff Costs</v>
      </c>
    </row>
    <row r="6" spans="1:17" customFormat="1" ht="13">
      <c r="A6" s="325" t="s">
        <v>2492</v>
      </c>
      <c r="B6" s="325"/>
      <c r="C6" s="325"/>
      <c r="D6" s="8"/>
      <c r="E6" s="326"/>
      <c r="F6" s="326"/>
      <c r="G6" s="326"/>
      <c r="H6" s="326"/>
      <c r="I6" s="326"/>
      <c r="J6" s="530">
        <f>(E6*'Study Information &amp; rates'!$B$101)+('Additional Study Activities'!F6*'Study Information &amp; rates'!$C$101)+('Additional Study Activities'!G6*'Study Information &amp; rates'!$D$101)+('Additional Study Activities'!H6*'Study Information &amp; rates'!$E$101)+('Additional Study Activities'!I6*'Study Information &amp; rates'!$F$101)</f>
        <v>0</v>
      </c>
      <c r="K6" s="438">
        <f>IF('Study Information &amp; rates'!$B$43="Yes",J6*0.287,0)</f>
        <v>0</v>
      </c>
      <c r="L6" s="438">
        <f>IF('Study Information &amp; rates'!$B$43="No",0,J6*0.05)</f>
        <v>0</v>
      </c>
      <c r="M6" s="537">
        <f>J6+K6+L6</f>
        <v>0</v>
      </c>
      <c r="N6" s="537">
        <f>'Set-up and other costs'!$B$18*'Additional Study Activities'!M6</f>
        <v>0</v>
      </c>
      <c r="Q6" t="str">
        <f>'Look Up'!$A$13&amp;'Additional Study Activities'!D6</f>
        <v>Additional Staff Costs</v>
      </c>
    </row>
    <row r="7" spans="1:17" customFormat="1" ht="13">
      <c r="A7" s="325" t="s">
        <v>2493</v>
      </c>
      <c r="B7" s="325"/>
      <c r="C7" s="325"/>
      <c r="D7" s="8"/>
      <c r="E7" s="326"/>
      <c r="F7" s="326"/>
      <c r="G7" s="326"/>
      <c r="H7" s="326"/>
      <c r="I7" s="326"/>
      <c r="J7" s="530">
        <f>(E7*'Study Information &amp; rates'!$B$101)+('Additional Study Activities'!F7*'Study Information &amp; rates'!$C$101)+('Additional Study Activities'!G7*'Study Information &amp; rates'!$D$101)+('Additional Study Activities'!H7*'Study Information &amp; rates'!$E$101)+('Additional Study Activities'!I7*'Study Information &amp; rates'!$F$101)</f>
        <v>0</v>
      </c>
      <c r="K7" s="438">
        <f>IF('Study Information &amp; rates'!$B$43="Yes",J7*0.287,0)</f>
        <v>0</v>
      </c>
      <c r="L7" s="438">
        <f>IF('Study Information &amp; rates'!$B$43="No",0,J7*0.05)</f>
        <v>0</v>
      </c>
      <c r="M7" s="537">
        <f>J7+K7+L7</f>
        <v>0</v>
      </c>
      <c r="N7" s="537">
        <f>'Set-up and other costs'!$B$18*'Additional Study Activities'!M7</f>
        <v>0</v>
      </c>
      <c r="Q7" t="str">
        <f>'Look Up'!$A$13&amp;'Additional Study Activities'!D7</f>
        <v>Additional Staff Costs</v>
      </c>
    </row>
    <row r="8" spans="1:17" customFormat="1" ht="13">
      <c r="A8" s="325"/>
      <c r="B8" s="325"/>
      <c r="C8" s="325"/>
      <c r="D8" s="8"/>
      <c r="E8" s="326"/>
      <c r="F8" s="326"/>
      <c r="G8" s="326"/>
      <c r="H8" s="326"/>
      <c r="I8" s="326"/>
      <c r="J8" s="530">
        <f>(E8*'Study Information &amp; rates'!$B$101)+('Additional Study Activities'!F8*'Study Information &amp; rates'!$C$101)+('Additional Study Activities'!G8*'Study Information &amp; rates'!$D$101)+('Additional Study Activities'!H8*'Study Information &amp; rates'!$E$101)+('Additional Study Activities'!I8*'Study Information &amp; rates'!$F$101)</f>
        <v>0</v>
      </c>
      <c r="K8" s="438">
        <f>IF('Study Information &amp; rates'!$B$43="Yes",J8*0.287,0)</f>
        <v>0</v>
      </c>
      <c r="L8" s="438">
        <f>IF('Study Information &amp; rates'!$B$43="No",0,J8*0.05)</f>
        <v>0</v>
      </c>
      <c r="M8" s="537">
        <f>J8+K8+L8</f>
        <v>0</v>
      </c>
      <c r="N8" s="537">
        <f>'Set-up and other costs'!$B$18*'Additional Study Activities'!M8</f>
        <v>0</v>
      </c>
      <c r="Q8" t="str">
        <f>'Look Up'!$A$13&amp;'Additional Study Activities'!D8</f>
        <v>Additional Staff Costs</v>
      </c>
    </row>
    <row r="9" spans="1:17" customFormat="1" ht="13">
      <c r="A9" s="325"/>
      <c r="B9" s="325"/>
      <c r="C9" s="325"/>
      <c r="D9" s="8"/>
      <c r="E9" s="326"/>
      <c r="F9" s="326"/>
      <c r="G9" s="326"/>
      <c r="H9" s="326"/>
      <c r="I9" s="326"/>
      <c r="J9" s="530">
        <f>(E9*'Study Information &amp; rates'!$B$101)+('Additional Study Activities'!F9*'Study Information &amp; rates'!$C$101)+('Additional Study Activities'!G9*'Study Information &amp; rates'!$D$101)+('Additional Study Activities'!H9*'Study Information &amp; rates'!$E$101)+('Additional Study Activities'!I9*'Study Information &amp; rates'!$F$101)</f>
        <v>0</v>
      </c>
      <c r="K9" s="438">
        <f>IF('Study Information &amp; rates'!$B$43="Yes",J9*0.287,0)</f>
        <v>0</v>
      </c>
      <c r="L9" s="438">
        <f>IF('Study Information &amp; rates'!$B$43="No",0,J9*0.05)</f>
        <v>0</v>
      </c>
      <c r="M9" s="537">
        <f>J9+K9+L9</f>
        <v>0</v>
      </c>
      <c r="N9" s="537">
        <f>'Set-up and other costs'!$B$18*'Additional Study Activities'!M9</f>
        <v>0</v>
      </c>
      <c r="Q9" t="str">
        <f>'Look Up'!$A$13&amp;'Additional Study Activities'!D9</f>
        <v>Additional Staff Costs</v>
      </c>
    </row>
    <row r="10" spans="1:17" customFormat="1" ht="13">
      <c r="A10" s="325"/>
      <c r="B10" s="325"/>
      <c r="C10" s="325"/>
      <c r="D10" s="8"/>
      <c r="E10" s="326"/>
      <c r="F10" s="326"/>
      <c r="G10" s="326"/>
      <c r="H10" s="326"/>
      <c r="I10" s="326"/>
      <c r="J10" s="530">
        <f>(E10*'Study Information &amp; rates'!$B$101)+('Additional Study Activities'!F10*'Study Information &amp; rates'!$C$101)+('Additional Study Activities'!G10*'Study Information &amp; rates'!$D$101)+('Additional Study Activities'!H10*'Study Information &amp; rates'!$E$101)+('Additional Study Activities'!I10*'Study Information &amp; rates'!$F$101)</f>
        <v>0</v>
      </c>
      <c r="K10" s="438">
        <f>IF('Study Information &amp; rates'!$B$43="Yes",J10*0.287,0)</f>
        <v>0</v>
      </c>
      <c r="L10" s="438">
        <f>IF('Study Information &amp; rates'!$B$43="No",0,J10*0.05)</f>
        <v>0</v>
      </c>
      <c r="M10" s="537">
        <f>J10+K10+L10</f>
        <v>0</v>
      </c>
      <c r="N10" s="537">
        <f>'Set-up and other costs'!$B$18*'Additional Study Activities'!M10</f>
        <v>0</v>
      </c>
      <c r="Q10" t="str">
        <f>'Look Up'!$A$13&amp;'Additional Study Activities'!D10</f>
        <v>Additional Staff Costs</v>
      </c>
    </row>
    <row r="11" spans="1:17" customFormat="1" ht="13">
      <c r="A11" s="325"/>
      <c r="B11" s="325"/>
      <c r="C11" s="325"/>
      <c r="D11" s="8"/>
      <c r="E11" s="326"/>
      <c r="F11" s="326"/>
      <c r="G11" s="326"/>
      <c r="H11" s="326"/>
      <c r="I11" s="326"/>
      <c r="J11" s="530">
        <f>(E11*'Study Information &amp; rates'!$B$101)+('Additional Study Activities'!F11*'Study Information &amp; rates'!$C$101)+('Additional Study Activities'!G11*'Study Information &amp; rates'!$D$101)+('Additional Study Activities'!H11*'Study Information &amp; rates'!$E$101)+('Additional Study Activities'!I11*'Study Information &amp; rates'!$F$101)</f>
        <v>0</v>
      </c>
      <c r="K11" s="438">
        <f>IF('Study Information &amp; rates'!$B$43="Yes",J11*0.287,0)</f>
        <v>0</v>
      </c>
      <c r="L11" s="438">
        <f>IF('Study Information &amp; rates'!$B$43="No",0,J11*0.05)</f>
        <v>0</v>
      </c>
      <c r="M11" s="537">
        <f>J11+K11+L11</f>
        <v>0</v>
      </c>
      <c r="N11" s="537">
        <f>'Set-up and other costs'!$B$18*'Additional Study Activities'!M11</f>
        <v>0</v>
      </c>
      <c r="Q11" t="str">
        <f>'Look Up'!$A$13&amp;'Additional Study Activities'!D11</f>
        <v>Additional Staff Costs</v>
      </c>
    </row>
    <row r="12" spans="1:17" customFormat="1" ht="13">
      <c r="A12" s="325"/>
      <c r="B12" s="325"/>
      <c r="C12" s="325"/>
      <c r="D12" s="8"/>
      <c r="E12" s="326"/>
      <c r="F12" s="326"/>
      <c r="G12" s="326"/>
      <c r="H12" s="326"/>
      <c r="I12" s="326"/>
      <c r="J12" s="530">
        <f>(E12*'Study Information &amp; rates'!$B$101)+('Additional Study Activities'!F12*'Study Information &amp; rates'!$C$101)+('Additional Study Activities'!G12*'Study Information &amp; rates'!$D$101)+('Additional Study Activities'!H12*'Study Information &amp; rates'!$E$101)+('Additional Study Activities'!I12*'Study Information &amp; rates'!$F$101)</f>
        <v>0</v>
      </c>
      <c r="K12" s="438">
        <f>IF('Study Information &amp; rates'!$B$43="Yes",J12*0.287,0)</f>
        <v>0</v>
      </c>
      <c r="L12" s="438">
        <f>IF('Study Information &amp; rates'!$B$43="No",0,J12*0.05)</f>
        <v>0</v>
      </c>
      <c r="M12" s="537">
        <f>J12+K12+L12</f>
        <v>0</v>
      </c>
      <c r="N12" s="537">
        <f>'Set-up and other costs'!$B$18*'Additional Study Activities'!M12</f>
        <v>0</v>
      </c>
      <c r="Q12" t="str">
        <f>'Look Up'!$A$13&amp;'Additional Study Activities'!D12</f>
        <v>Additional Staff Costs</v>
      </c>
    </row>
    <row r="13" spans="1:17" customFormat="1" ht="13">
      <c r="A13" s="325"/>
      <c r="B13" s="325"/>
      <c r="C13" s="325"/>
      <c r="D13" s="8"/>
      <c r="E13" s="326"/>
      <c r="F13" s="326"/>
      <c r="G13" s="326"/>
      <c r="H13" s="326"/>
      <c r="I13" s="326"/>
      <c r="J13" s="530">
        <f>(E13*'Study Information &amp; rates'!$B$101)+('Additional Study Activities'!F13*'Study Information &amp; rates'!$C$101)+('Additional Study Activities'!G13*'Study Information &amp; rates'!$D$101)+('Additional Study Activities'!H13*'Study Information &amp; rates'!$E$101)+('Additional Study Activities'!I13*'Study Information &amp; rates'!$F$101)</f>
        <v>0</v>
      </c>
      <c r="K13" s="438">
        <f>IF('Study Information &amp; rates'!$B$43="Yes",J13*0.287,0)</f>
        <v>0</v>
      </c>
      <c r="L13" s="438">
        <f>IF('Study Information &amp; rates'!$B$43="No",0,J13*0.05)</f>
        <v>0</v>
      </c>
      <c r="M13" s="537">
        <f>J13+K13+L13</f>
        <v>0</v>
      </c>
      <c r="N13" s="537">
        <f>'Set-up and other costs'!$B$18*'Additional Study Activities'!M13</f>
        <v>0</v>
      </c>
      <c r="Q13" t="str">
        <f>'Look Up'!$A$13&amp;'Additional Study Activities'!D13</f>
        <v>Additional Staff Costs</v>
      </c>
    </row>
    <row r="14" spans="1:17" customFormat="1" ht="13">
      <c r="A14" s="325"/>
      <c r="B14" s="325"/>
      <c r="C14" s="325"/>
      <c r="D14" s="8"/>
      <c r="E14" s="326"/>
      <c r="F14" s="326"/>
      <c r="G14" s="326"/>
      <c r="H14" s="326"/>
      <c r="I14" s="326"/>
      <c r="J14" s="530">
        <f>(E14*'Study Information &amp; rates'!$B$101)+('Additional Study Activities'!F14*'Study Information &amp; rates'!$C$101)+('Additional Study Activities'!G14*'Study Information &amp; rates'!$D$101)+('Additional Study Activities'!H14*'Study Information &amp; rates'!$E$101)+('Additional Study Activities'!I14*'Study Information &amp; rates'!$F$101)</f>
        <v>0</v>
      </c>
      <c r="K14" s="438">
        <f>IF('Study Information &amp; rates'!$B$43="Yes",J14*0.287,0)</f>
        <v>0</v>
      </c>
      <c r="L14" s="438">
        <f>IF('Study Information &amp; rates'!$B$43="No",0,J14*0.05)</f>
        <v>0</v>
      </c>
      <c r="M14" s="537">
        <f>J14+K14+L14</f>
        <v>0</v>
      </c>
      <c r="N14" s="537">
        <f>'Set-up and other costs'!$B$18*'Additional Study Activities'!M14</f>
        <v>0</v>
      </c>
      <c r="Q14" t="str">
        <f>'Look Up'!$A$13&amp;'Additional Study Activities'!D14</f>
        <v>Additional Staff Costs</v>
      </c>
    </row>
    <row r="15" spans="1:17" customFormat="1" ht="13">
      <c r="A15" s="325"/>
      <c r="B15" s="325"/>
      <c r="C15" s="325"/>
      <c r="D15" s="8"/>
      <c r="E15" s="326"/>
      <c r="F15" s="326"/>
      <c r="G15" s="326"/>
      <c r="H15" s="326"/>
      <c r="I15" s="326"/>
      <c r="J15" s="530">
        <f>(E15*'Study Information &amp; rates'!$B$101)+('Additional Study Activities'!F15*'Study Information &amp; rates'!$C$101)+('Additional Study Activities'!G15*'Study Information &amp; rates'!$D$101)+('Additional Study Activities'!H15*'Study Information &amp; rates'!$E$101)+('Additional Study Activities'!I15*'Study Information &amp; rates'!$F$101)</f>
        <v>0</v>
      </c>
      <c r="K15" s="438">
        <f>IF('Study Information &amp; rates'!$B$43="Yes",J15*0.287,0)</f>
        <v>0</v>
      </c>
      <c r="L15" s="438">
        <f>IF('Study Information &amp; rates'!$B$43="No",0,J15*0.05)</f>
        <v>0</v>
      </c>
      <c r="M15" s="537">
        <f>J15+K15+L15</f>
        <v>0</v>
      </c>
      <c r="N15" s="537">
        <f>'Set-up and other costs'!$B$18*'Additional Study Activities'!M15</f>
        <v>0</v>
      </c>
      <c r="Q15" t="str">
        <f>'Look Up'!$A$13&amp;'Additional Study Activities'!D15</f>
        <v>Additional Staff Costs</v>
      </c>
    </row>
    <row r="16" spans="1:17" customFormat="1" ht="13">
      <c r="A16" s="325"/>
      <c r="B16" s="325"/>
      <c r="C16" s="325"/>
      <c r="D16" s="8"/>
      <c r="E16" s="326"/>
      <c r="F16" s="326"/>
      <c r="G16" s="326"/>
      <c r="H16" s="326"/>
      <c r="I16" s="326"/>
      <c r="J16" s="530">
        <f>(E16*'Study Information &amp; rates'!$B$101)+('Additional Study Activities'!F16*'Study Information &amp; rates'!$C$101)+('Additional Study Activities'!G16*'Study Information &amp; rates'!$D$101)+('Additional Study Activities'!H16*'Study Information &amp; rates'!$E$101)+('Additional Study Activities'!I16*'Study Information &amp; rates'!$F$101)</f>
        <v>0</v>
      </c>
      <c r="K16" s="438">
        <f>IF('Study Information &amp; rates'!$B$43="Yes",J16*0.287,0)</f>
        <v>0</v>
      </c>
      <c r="L16" s="438">
        <f>IF('Study Information &amp; rates'!$B$43="No",0,J16*0.05)</f>
        <v>0</v>
      </c>
      <c r="M16" s="537">
        <f>J16+K16+L16</f>
        <v>0</v>
      </c>
      <c r="N16" s="537">
        <f>'Set-up and other costs'!$B$18*'Additional Study Activities'!M16</f>
        <v>0</v>
      </c>
      <c r="Q16" t="str">
        <f>'Look Up'!$A$13&amp;'Additional Study Activities'!D16</f>
        <v>Additional Staff Costs</v>
      </c>
    </row>
    <row r="17" spans="1:17" customFormat="1" ht="13">
      <c r="A17" s="325"/>
      <c r="B17" s="325"/>
      <c r="C17" s="325"/>
      <c r="D17" s="8"/>
      <c r="E17" s="326"/>
      <c r="F17" s="326"/>
      <c r="G17" s="326"/>
      <c r="H17" s="326"/>
      <c r="I17" s="326"/>
      <c r="J17" s="530">
        <f>(E17*'Study Information &amp; rates'!$B$101)+('Additional Study Activities'!F17*'Study Information &amp; rates'!$C$101)+('Additional Study Activities'!G17*'Study Information &amp; rates'!$D$101)+('Additional Study Activities'!H17*'Study Information &amp; rates'!$E$101)+('Additional Study Activities'!I17*'Study Information &amp; rates'!$F$101)</f>
        <v>0</v>
      </c>
      <c r="K17" s="438">
        <f>IF('Study Information &amp; rates'!$B$43="Yes",J17*0.287,0)</f>
        <v>0</v>
      </c>
      <c r="L17" s="438">
        <f>IF('Study Information &amp; rates'!$B$43="No",0,J17*0.05)</f>
        <v>0</v>
      </c>
      <c r="M17" s="537">
        <f>J17+K17+L17</f>
        <v>0</v>
      </c>
      <c r="N17" s="537">
        <f>'Set-up and other costs'!$B$18*'Additional Study Activities'!M17</f>
        <v>0</v>
      </c>
      <c r="Q17" t="str">
        <f>'Look Up'!$A$13&amp;'Additional Study Activities'!D17</f>
        <v>Additional Staff Costs</v>
      </c>
    </row>
    <row r="18" spans="1:17" customFormat="1" ht="13">
      <c r="A18" s="326"/>
      <c r="B18" s="326"/>
      <c r="C18" s="325"/>
      <c r="D18" s="8"/>
      <c r="E18" s="326"/>
      <c r="F18" s="326"/>
      <c r="G18" s="326"/>
      <c r="H18" s="326"/>
      <c r="I18" s="326"/>
      <c r="J18" s="530">
        <f>(E18*'Study Information &amp; rates'!$B$101)+('Additional Study Activities'!F18*'Study Information &amp; rates'!$C$101)+('Additional Study Activities'!G18*'Study Information &amp; rates'!$D$101)+('Additional Study Activities'!H18*'Study Information &amp; rates'!$E$101)+('Additional Study Activities'!I18*'Study Information &amp; rates'!$F$101)</f>
        <v>0</v>
      </c>
      <c r="K18" s="438">
        <f>IF('Study Information &amp; rates'!$B$43="Yes",J18*0.287,0)</f>
        <v>0</v>
      </c>
      <c r="L18" s="438">
        <f>IF('Study Information &amp; rates'!$B$43="No",0,J18*0.05)</f>
        <v>0</v>
      </c>
      <c r="M18" s="537">
        <f>J18+K18+L18</f>
        <v>0</v>
      </c>
      <c r="N18" s="537">
        <f>'Set-up and other costs'!$B$18*'Additional Study Activities'!M18</f>
        <v>0</v>
      </c>
      <c r="Q18" t="str">
        <f>'Look Up'!$A$13&amp;'Additional Study Activities'!D18</f>
        <v>Additional Staff Costs</v>
      </c>
    </row>
    <row r="19" spans="1:17" customFormat="1" ht="13">
      <c r="A19" s="326"/>
      <c r="B19" s="326"/>
      <c r="C19" s="325"/>
      <c r="D19" s="8"/>
      <c r="E19" s="326"/>
      <c r="F19" s="326"/>
      <c r="G19" s="326"/>
      <c r="H19" s="326"/>
      <c r="I19" s="326"/>
      <c r="J19" s="530">
        <f>(E19*'Study Information &amp; rates'!$B$101)+('Additional Study Activities'!F19*'Study Information &amp; rates'!$C$101)+('Additional Study Activities'!G19*'Study Information &amp; rates'!$D$101)+('Additional Study Activities'!H19*'Study Information &amp; rates'!$E$101)+('Additional Study Activities'!I19*'Study Information &amp; rates'!$F$101)</f>
        <v>0</v>
      </c>
      <c r="K19" s="438">
        <f>IF('Study Information &amp; rates'!$B$43="Yes",J19*0.287,0)</f>
        <v>0</v>
      </c>
      <c r="L19" s="438">
        <f>IF('Study Information &amp; rates'!$B$43="No",0,J19*0.05)</f>
        <v>0</v>
      </c>
      <c r="M19" s="537">
        <f>J19+K19+L19</f>
        <v>0</v>
      </c>
      <c r="N19" s="537">
        <f>'Set-up and other costs'!$B$18*'Additional Study Activities'!M19</f>
        <v>0</v>
      </c>
      <c r="Q19" t="str">
        <f>'Look Up'!$A$13&amp;'Additional Study Activities'!D19</f>
        <v>Additional Staff Costs</v>
      </c>
    </row>
    <row r="20" spans="1:17" customFormat="1" ht="13">
      <c r="A20" s="326"/>
      <c r="B20" s="326"/>
      <c r="C20" s="325"/>
      <c r="D20" s="8"/>
      <c r="E20" s="326"/>
      <c r="F20" s="326"/>
      <c r="G20" s="326"/>
      <c r="H20" s="326"/>
      <c r="I20" s="326"/>
      <c r="J20" s="530">
        <f>(E20*'Study Information &amp; rates'!$B$101)+('Additional Study Activities'!F20*'Study Information &amp; rates'!$C$101)+('Additional Study Activities'!G20*'Study Information &amp; rates'!$D$101)+('Additional Study Activities'!H20*'Study Information &amp; rates'!$E$101)+('Additional Study Activities'!I20*'Study Information &amp; rates'!$F$101)</f>
        <v>0</v>
      </c>
      <c r="K20" s="438">
        <f>IF('Study Information &amp; rates'!$B$43="Yes",J20*0.287,0)</f>
        <v>0</v>
      </c>
      <c r="L20" s="438">
        <f>IF('Study Information &amp; rates'!$B$43="No",0,J20*0.05)</f>
        <v>0</v>
      </c>
      <c r="M20" s="537">
        <f>J20+K20+L20</f>
        <v>0</v>
      </c>
      <c r="N20" s="537">
        <f>'Set-up and other costs'!$B$18*'Additional Study Activities'!M20</f>
        <v>0</v>
      </c>
      <c r="Q20" t="str">
        <f>'Look Up'!$A$13&amp;'Additional Study Activities'!D20</f>
        <v>Additional Staff Costs</v>
      </c>
    </row>
    <row r="21" spans="1:17" ht="13">
      <c r="A21" s="326"/>
      <c r="B21" s="326"/>
      <c r="C21" s="325"/>
      <c r="D21" s="8"/>
      <c r="E21" s="326"/>
      <c r="F21" s="326"/>
      <c r="G21" s="326"/>
      <c r="H21" s="326"/>
      <c r="I21" s="326"/>
      <c r="J21" s="530">
        <f>(E21*'Study Information &amp; rates'!$B$101)+('Additional Study Activities'!F21*'Study Information &amp; rates'!$C$101)+('Additional Study Activities'!G21*'Study Information &amp; rates'!$D$101)+('Additional Study Activities'!H21*'Study Information &amp; rates'!$E$101)+('Additional Study Activities'!I21*'Study Information &amp; rates'!$F$101)</f>
        <v>0</v>
      </c>
      <c r="K21" s="438">
        <f>IF('Study Information &amp; rates'!$B$43="Yes",J21*0.287,0)</f>
        <v>0</v>
      </c>
      <c r="L21" s="438">
        <f>IF('Study Information &amp; rates'!$B$43="No",0,J21*0.05)</f>
        <v>0</v>
      </c>
      <c r="M21" s="537">
        <f>J21+K21+L21</f>
        <v>0</v>
      </c>
      <c r="N21" s="537">
        <f>'Set-up and other costs'!$B$18*'Additional Study Activities'!M21</f>
        <v>0</v>
      </c>
      <c r="Q21" t="str">
        <f>'Look Up'!$A$13&amp;'Additional Study Activities'!D21</f>
        <v>Additional Staff Costs</v>
      </c>
    </row>
    <row r="22" spans="1:17" ht="13">
      <c r="A22" s="326"/>
      <c r="B22" s="326"/>
      <c r="C22" s="325"/>
      <c r="D22" s="8"/>
      <c r="E22" s="326"/>
      <c r="F22" s="326"/>
      <c r="G22" s="326"/>
      <c r="H22" s="326"/>
      <c r="I22" s="326"/>
      <c r="J22" s="530">
        <f>(E22*'Study Information &amp; rates'!$B$101)+('Additional Study Activities'!F22*'Study Information &amp; rates'!$C$101)+('Additional Study Activities'!G22*'Study Information &amp; rates'!$D$101)+('Additional Study Activities'!H22*'Study Information &amp; rates'!$E$101)+('Additional Study Activities'!I22*'Study Information &amp; rates'!$F$101)</f>
        <v>0</v>
      </c>
      <c r="K22" s="438">
        <f>IF('Study Information &amp; rates'!$B$43="Yes",J22*0.287,0)</f>
        <v>0</v>
      </c>
      <c r="L22" s="438">
        <f>IF('Study Information &amp; rates'!$B$43="No",0,J22*0.05)</f>
        <v>0</v>
      </c>
      <c r="M22" s="537">
        <f>J22+K22+L22</f>
        <v>0</v>
      </c>
      <c r="N22" s="537">
        <f>'Set-up and other costs'!$B$18*'Additional Study Activities'!M22</f>
        <v>0</v>
      </c>
      <c r="Q22" t="str">
        <f>'Look Up'!$A$13&amp;'Additional Study Activities'!D22</f>
        <v>Additional Staff Costs</v>
      </c>
    </row>
    <row r="23" spans="1:17" ht="13">
      <c r="A23" s="326"/>
      <c r="B23" s="326"/>
      <c r="C23" s="325"/>
      <c r="D23" s="8"/>
      <c r="E23" s="326"/>
      <c r="F23" s="326"/>
      <c r="G23" s="326"/>
      <c r="H23" s="326"/>
      <c r="I23" s="326"/>
      <c r="J23" s="530">
        <f>(E23*'Study Information &amp; rates'!$B$101)+('Additional Study Activities'!F23*'Study Information &amp; rates'!$C$101)+('Additional Study Activities'!G23*'Study Information &amp; rates'!$D$101)+('Additional Study Activities'!H23*'Study Information &amp; rates'!$E$101)+('Additional Study Activities'!I23*'Study Information &amp; rates'!$F$101)</f>
        <v>0</v>
      </c>
      <c r="K23" s="438">
        <f>IF('Study Information &amp; rates'!$B$43="Yes",J23*0.287,0)</f>
        <v>0</v>
      </c>
      <c r="L23" s="438">
        <f>IF('Study Information &amp; rates'!$B$43="No",0,J23*0.05)</f>
        <v>0</v>
      </c>
      <c r="M23" s="537">
        <f>J23+K23+L23</f>
        <v>0</v>
      </c>
      <c r="N23" s="537">
        <f>'Set-up and other costs'!$B$18*'Additional Study Activities'!M23</f>
        <v>0</v>
      </c>
      <c r="Q23" t="str">
        <f>'Look Up'!$A$13&amp;'Additional Study Activities'!D23</f>
        <v>Additional Staff Costs</v>
      </c>
    </row>
    <row r="24" spans="1:17" ht="13">
      <c r="A24" s="326"/>
      <c r="B24" s="326"/>
      <c r="C24" s="325"/>
      <c r="D24" s="8"/>
      <c r="E24" s="326"/>
      <c r="F24" s="326"/>
      <c r="G24" s="326"/>
      <c r="H24" s="326"/>
      <c r="I24" s="326"/>
      <c r="J24" s="530">
        <f>(E24*'Study Information &amp; rates'!$B$101)+('Additional Study Activities'!F24*'Study Information &amp; rates'!$C$101)+('Additional Study Activities'!G24*'Study Information &amp; rates'!$D$101)+('Additional Study Activities'!H24*'Study Information &amp; rates'!$E$101)+('Additional Study Activities'!I24*'Study Information &amp; rates'!$F$101)</f>
        <v>0</v>
      </c>
      <c r="K24" s="438">
        <f>IF('Study Information &amp; rates'!$B$43="Yes",J24*0.287,0)</f>
        <v>0</v>
      </c>
      <c r="L24" s="438">
        <f>IF('Study Information &amp; rates'!$B$43="No",0,J24*0.05)</f>
        <v>0</v>
      </c>
      <c r="M24" s="537">
        <f>J24+K24+L24</f>
        <v>0</v>
      </c>
      <c r="N24" s="537">
        <f>'Set-up and other costs'!$B$18*'Additional Study Activities'!M24</f>
        <v>0</v>
      </c>
      <c r="Q24" t="str">
        <f>'Look Up'!$A$13&amp;'Additional Study Activities'!D24</f>
        <v>Additional Staff Costs</v>
      </c>
    </row>
    <row r="25" spans="1:17" ht="13">
      <c r="A25" s="326"/>
      <c r="B25" s="326"/>
      <c r="C25" s="325"/>
      <c r="D25" s="8"/>
      <c r="E25" s="326"/>
      <c r="F25" s="326"/>
      <c r="G25" s="326"/>
      <c r="H25" s="326"/>
      <c r="I25" s="326"/>
      <c r="J25" s="530">
        <f>(E25*'Study Information &amp; rates'!$B$101)+('Additional Study Activities'!F25*'Study Information &amp; rates'!$C$101)+('Additional Study Activities'!G25*'Study Information &amp; rates'!$D$101)+('Additional Study Activities'!H25*'Study Information &amp; rates'!$E$101)+('Additional Study Activities'!I25*'Study Information &amp; rates'!$F$101)</f>
        <v>0</v>
      </c>
      <c r="K25" s="438">
        <f>IF('Study Information &amp; rates'!$B$43="Yes",J25*0.287,0)</f>
        <v>0</v>
      </c>
      <c r="L25" s="438">
        <f>IF('Study Information &amp; rates'!$B$43="No",0,J25*0.05)</f>
        <v>0</v>
      </c>
      <c r="M25" s="537">
        <f>J25+K25+L25</f>
        <v>0</v>
      </c>
      <c r="N25" s="537">
        <f>'Set-up and other costs'!$B$18*'Additional Study Activities'!M25</f>
        <v>0</v>
      </c>
      <c r="Q25" t="str">
        <f>'Look Up'!$A$13&amp;'Additional Study Activities'!D25</f>
        <v>Additional Staff Costs</v>
      </c>
    </row>
    <row r="26" spans="1:17" ht="13">
      <c r="A26" s="326"/>
      <c r="B26" s="326"/>
      <c r="C26" s="325"/>
      <c r="D26" s="8"/>
      <c r="E26" s="326"/>
      <c r="F26" s="326"/>
      <c r="G26" s="326"/>
      <c r="H26" s="326"/>
      <c r="I26" s="326"/>
      <c r="J26" s="530">
        <f>(E26*'Study Information &amp; rates'!$B$101)+('Additional Study Activities'!F26*'Study Information &amp; rates'!$C$101)+('Additional Study Activities'!G26*'Study Information &amp; rates'!$D$101)+('Additional Study Activities'!H26*'Study Information &amp; rates'!$E$101)+('Additional Study Activities'!I26*'Study Information &amp; rates'!$F$101)</f>
        <v>0</v>
      </c>
      <c r="K26" s="438">
        <f>IF('Study Information &amp; rates'!$B$43="Yes",J26*0.287,0)</f>
        <v>0</v>
      </c>
      <c r="L26" s="438">
        <f>IF('Study Information &amp; rates'!$B$43="No",0,J26*0.05)</f>
        <v>0</v>
      </c>
      <c r="M26" s="537">
        <f>J26+K26+L26</f>
        <v>0</v>
      </c>
      <c r="N26" s="537">
        <f>'Set-up and other costs'!$B$18*'Additional Study Activities'!M26</f>
        <v>0</v>
      </c>
      <c r="Q26" t="str">
        <f>'Look Up'!$A$13&amp;'Additional Study Activities'!D26</f>
        <v>Additional Staff Costs</v>
      </c>
    </row>
    <row r="27" spans="10:17" s="5" customFormat="1" ht="13">
      <c r="J27" s="538"/>
      <c r="K27" s="538"/>
      <c r="L27" s="538"/>
      <c r="M27" s="539">
        <f>SUM(M4:M26)</f>
        <v>0</v>
      </c>
      <c r="N27" s="537">
        <f>'Set-up and other costs'!$B$18*'Additional Study Activities'!M27</f>
        <v>0</v>
      </c>
      <c r="Q27"/>
    </row>
    <row r="28" spans="17:17" s="5" customFormat="1" ht="13">
      <c r="Q28"/>
    </row>
    <row r="29" spans="1:17" s="5" customFormat="1" ht="15.5">
      <c r="A29" s="21" t="s">
        <v>31</v>
      </c>
      <c r="B29" s="21"/>
      <c r="C29" s="21"/>
      <c r="D29" s="21"/>
      <c r="Q29"/>
    </row>
    <row r="30" spans="17:23" s="5" customFormat="1" ht="13">
      <c r="Q30"/>
      <c r="W30" s="477"/>
    </row>
    <row r="31" spans="1:17" ht="52">
      <c r="A31" s="428" t="s">
        <v>24</v>
      </c>
      <c r="B31" s="428" t="s">
        <v>2150</v>
      </c>
      <c r="C31" s="428" t="s">
        <v>2149</v>
      </c>
      <c r="D31" s="428" t="s">
        <v>2058</v>
      </c>
      <c r="E31" s="560"/>
      <c r="F31" s="560"/>
      <c r="G31" s="560"/>
      <c r="H31" s="560"/>
      <c r="I31" s="560"/>
      <c r="J31" s="428" t="s">
        <v>25</v>
      </c>
      <c r="K31" s="428" t="s">
        <v>27</v>
      </c>
      <c r="L31" s="428" t="s">
        <v>28</v>
      </c>
      <c r="M31" s="437" t="s">
        <v>2249</v>
      </c>
      <c r="N31" s="428" t="s">
        <v>2279</v>
      </c>
      <c r="Q31"/>
    </row>
    <row r="32" spans="1:17" ht="13">
      <c r="A32" s="278"/>
      <c r="B32" s="278"/>
      <c r="C32" s="325"/>
      <c r="D32" s="8"/>
      <c r="E32" s="288"/>
      <c r="F32" s="288"/>
      <c r="G32" s="288"/>
      <c r="H32" s="288"/>
      <c r="I32" s="288"/>
      <c r="J32" s="324"/>
      <c r="K32" s="3"/>
      <c r="L32" s="3"/>
      <c r="M32" s="540">
        <f>L32*K32*J32</f>
        <v>0</v>
      </c>
      <c r="N32" s="537">
        <f>'Set-up and other costs'!$B$18*'Additional Study Activities'!M32</f>
        <v>0</v>
      </c>
      <c r="Q32" t="str">
        <f>'Look Up'!$A$12&amp;'Additional Study Activities'!D32</f>
        <v>Additional Costs</v>
      </c>
    </row>
    <row r="33" spans="1:17" ht="13">
      <c r="A33" s="278"/>
      <c r="B33" s="278"/>
      <c r="C33" s="325"/>
      <c r="D33" s="8"/>
      <c r="E33" s="288"/>
      <c r="F33" s="288"/>
      <c r="G33" s="288"/>
      <c r="H33" s="288"/>
      <c r="I33" s="288"/>
      <c r="J33" s="324"/>
      <c r="K33" s="3"/>
      <c r="L33" s="3"/>
      <c r="M33" s="540">
        <f>L33*K33*J33</f>
        <v>0</v>
      </c>
      <c r="N33" s="537">
        <f>'Set-up and other costs'!$B$18*'Additional Study Activities'!M33</f>
        <v>0</v>
      </c>
      <c r="Q33" t="str">
        <f>'Look Up'!$A$12&amp;'Additional Study Activities'!D33</f>
        <v>Additional Costs</v>
      </c>
    </row>
    <row r="34" spans="1:17" ht="13">
      <c r="A34" s="278"/>
      <c r="B34" s="278"/>
      <c r="C34" s="325"/>
      <c r="D34" s="8"/>
      <c r="E34" s="288"/>
      <c r="F34" s="288"/>
      <c r="G34" s="288"/>
      <c r="H34" s="288"/>
      <c r="I34" s="288"/>
      <c r="J34" s="324"/>
      <c r="K34" s="3"/>
      <c r="L34" s="3"/>
      <c r="M34" s="540">
        <f>L34*K34*J34</f>
        <v>0</v>
      </c>
      <c r="N34" s="537">
        <f>'Set-up and other costs'!$B$18*'Additional Study Activities'!M34</f>
        <v>0</v>
      </c>
      <c r="Q34" t="str">
        <f>'Look Up'!$A$12&amp;'Additional Study Activities'!D34</f>
        <v>Additional Costs</v>
      </c>
    </row>
    <row r="35" spans="1:17" ht="13">
      <c r="A35" s="278"/>
      <c r="B35" s="278"/>
      <c r="C35" s="325"/>
      <c r="D35" s="8"/>
      <c r="E35" s="288"/>
      <c r="F35" s="288"/>
      <c r="G35" s="288"/>
      <c r="H35" s="288"/>
      <c r="I35" s="288"/>
      <c r="J35" s="324"/>
      <c r="K35" s="3"/>
      <c r="L35" s="3"/>
      <c r="M35" s="540">
        <f>L35*K35*J35</f>
        <v>0</v>
      </c>
      <c r="N35" s="537">
        <f>'Set-up and other costs'!$B$18*'Additional Study Activities'!M35</f>
        <v>0</v>
      </c>
      <c r="Q35" t="str">
        <f>'Look Up'!$A$12&amp;'Additional Study Activities'!D35</f>
        <v>Additional Costs</v>
      </c>
    </row>
    <row r="36" spans="1:17" ht="13">
      <c r="A36" s="278"/>
      <c r="B36" s="278"/>
      <c r="C36" s="325"/>
      <c r="D36" s="8"/>
      <c r="E36" s="288"/>
      <c r="F36" s="288"/>
      <c r="G36" s="288"/>
      <c r="H36" s="288"/>
      <c r="I36" s="288"/>
      <c r="J36" s="324"/>
      <c r="K36" s="3"/>
      <c r="L36" s="3"/>
      <c r="M36" s="540">
        <f>L36*K36*J36</f>
        <v>0</v>
      </c>
      <c r="N36" s="537">
        <f>'Set-up and other costs'!$B$18*'Additional Study Activities'!M36</f>
        <v>0</v>
      </c>
      <c r="Q36" t="str">
        <f>'Look Up'!$A$12&amp;'Additional Study Activities'!D36</f>
        <v>Additional Costs</v>
      </c>
    </row>
    <row r="37" spans="1:17" ht="13">
      <c r="A37" s="278"/>
      <c r="B37" s="278"/>
      <c r="C37" s="325"/>
      <c r="D37" s="8"/>
      <c r="E37" s="288"/>
      <c r="F37" s="288"/>
      <c r="G37" s="288"/>
      <c r="H37" s="288"/>
      <c r="I37" s="288"/>
      <c r="J37" s="324"/>
      <c r="K37" s="3"/>
      <c r="L37" s="3"/>
      <c r="M37" s="540">
        <f>L37*K37*J37</f>
        <v>0</v>
      </c>
      <c r="N37" s="537">
        <f>'Set-up and other costs'!$B$18*'Additional Study Activities'!M37</f>
        <v>0</v>
      </c>
      <c r="Q37" t="str">
        <f>'Look Up'!$A$12&amp;'Additional Study Activities'!D37</f>
        <v>Additional Costs</v>
      </c>
    </row>
    <row r="38" spans="1:17" ht="13">
      <c r="A38" s="278"/>
      <c r="B38" s="278"/>
      <c r="C38" s="325"/>
      <c r="D38" s="8"/>
      <c r="E38" s="288"/>
      <c r="F38" s="288"/>
      <c r="G38" s="288"/>
      <c r="H38" s="288"/>
      <c r="I38" s="288"/>
      <c r="J38" s="324"/>
      <c r="K38" s="3"/>
      <c r="L38" s="3"/>
      <c r="M38" s="540">
        <f>L38*K38*J38</f>
        <v>0</v>
      </c>
      <c r="N38" s="537">
        <f>'Set-up and other costs'!$B$18*'Additional Study Activities'!M38</f>
        <v>0</v>
      </c>
      <c r="Q38" t="str">
        <f>'Look Up'!$A$12&amp;'Additional Study Activities'!D38</f>
        <v>Additional Costs</v>
      </c>
    </row>
    <row r="39" spans="1:17" ht="13">
      <c r="A39" s="278"/>
      <c r="B39" s="278"/>
      <c r="C39" s="325"/>
      <c r="D39" s="8"/>
      <c r="E39" s="288"/>
      <c r="F39" s="288"/>
      <c r="G39" s="288"/>
      <c r="H39" s="288"/>
      <c r="I39" s="288"/>
      <c r="J39" s="324"/>
      <c r="K39" s="3"/>
      <c r="L39" s="3"/>
      <c r="M39" s="540">
        <f>L39*K39*J39</f>
        <v>0</v>
      </c>
      <c r="N39" s="537">
        <f>'Set-up and other costs'!$B$18*'Additional Study Activities'!M39</f>
        <v>0</v>
      </c>
      <c r="Q39" t="str">
        <f>'Look Up'!$A$12&amp;'Additional Study Activities'!D39</f>
        <v>Additional Costs</v>
      </c>
    </row>
    <row r="40" spans="1:17" ht="13">
      <c r="A40" s="278"/>
      <c r="B40" s="278"/>
      <c r="C40" s="325"/>
      <c r="D40" s="8"/>
      <c r="E40" s="288"/>
      <c r="F40" s="288"/>
      <c r="G40" s="288"/>
      <c r="H40" s="288"/>
      <c r="I40" s="288"/>
      <c r="J40" s="324"/>
      <c r="K40" s="3"/>
      <c r="L40" s="3"/>
      <c r="M40" s="540">
        <f>L40*K40*J40</f>
        <v>0</v>
      </c>
      <c r="N40" s="537">
        <f>'Set-up and other costs'!$B$18*'Additional Study Activities'!M40</f>
        <v>0</v>
      </c>
      <c r="Q40" t="str">
        <f>'Look Up'!$A$12&amp;'Additional Study Activities'!D40</f>
        <v>Additional Costs</v>
      </c>
    </row>
    <row r="41" spans="1:17" ht="13">
      <c r="A41" s="278"/>
      <c r="B41" s="278"/>
      <c r="C41" s="325"/>
      <c r="D41" s="8"/>
      <c r="E41" s="288"/>
      <c r="F41" s="288"/>
      <c r="G41" s="288"/>
      <c r="H41" s="288"/>
      <c r="I41" s="288"/>
      <c r="J41" s="324"/>
      <c r="K41" s="3"/>
      <c r="L41" s="3"/>
      <c r="M41" s="540">
        <f>L41*K41*J41</f>
        <v>0</v>
      </c>
      <c r="N41" s="537">
        <f>'Set-up and other costs'!$B$18*'Additional Study Activities'!M41</f>
        <v>0</v>
      </c>
      <c r="Q41" t="str">
        <f>'Look Up'!$A$12&amp;'Additional Study Activities'!D41</f>
        <v>Additional Costs</v>
      </c>
    </row>
    <row r="42" spans="1:17" ht="13">
      <c r="A42" s="278"/>
      <c r="B42" s="278"/>
      <c r="C42" s="325"/>
      <c r="D42" s="8"/>
      <c r="E42" s="288"/>
      <c r="F42" s="288"/>
      <c r="G42" s="288"/>
      <c r="H42" s="288"/>
      <c r="I42" s="288"/>
      <c r="J42" s="324"/>
      <c r="K42" s="3"/>
      <c r="L42" s="3"/>
      <c r="M42" s="540">
        <f>L42*K42*J42</f>
        <v>0</v>
      </c>
      <c r="N42" s="537">
        <f>'Set-up and other costs'!$B$18*'Additional Study Activities'!M42</f>
        <v>0</v>
      </c>
      <c r="Q42" t="str">
        <f>'Look Up'!$A$12&amp;'Additional Study Activities'!D42</f>
        <v>Additional Costs</v>
      </c>
    </row>
    <row r="43" spans="1:17" ht="13">
      <c r="A43" s="278"/>
      <c r="B43" s="278"/>
      <c r="C43" s="325"/>
      <c r="D43" s="8"/>
      <c r="E43" s="288"/>
      <c r="F43" s="288"/>
      <c r="G43" s="288"/>
      <c r="H43" s="288"/>
      <c r="I43" s="288"/>
      <c r="J43" s="324"/>
      <c r="K43" s="3"/>
      <c r="L43" s="3"/>
      <c r="M43" s="540">
        <f>L43*K43*J43</f>
        <v>0</v>
      </c>
      <c r="N43" s="537">
        <f>'Set-up and other costs'!$B$18*'Additional Study Activities'!M43</f>
        <v>0</v>
      </c>
      <c r="Q43" t="str">
        <f>'Look Up'!$A$12&amp;'Additional Study Activities'!D43</f>
        <v>Additional Costs</v>
      </c>
    </row>
    <row r="44" spans="1:17" ht="13">
      <c r="A44" s="278"/>
      <c r="B44" s="278"/>
      <c r="C44" s="325"/>
      <c r="D44" s="8"/>
      <c r="E44" s="288"/>
      <c r="F44" s="288"/>
      <c r="G44" s="288"/>
      <c r="H44" s="288"/>
      <c r="I44" s="288"/>
      <c r="J44" s="324"/>
      <c r="K44" s="3"/>
      <c r="L44" s="3"/>
      <c r="M44" s="540">
        <f>L44*K44*J44</f>
        <v>0</v>
      </c>
      <c r="N44" s="537">
        <f>'Set-up and other costs'!$B$18*'Additional Study Activities'!M44</f>
        <v>0</v>
      </c>
      <c r="Q44" t="str">
        <f>'Look Up'!$A$12&amp;'Additional Study Activities'!D44</f>
        <v>Additional Costs</v>
      </c>
    </row>
    <row r="45" spans="1:17" ht="13">
      <c r="A45" s="278"/>
      <c r="B45" s="278"/>
      <c r="C45" s="325"/>
      <c r="D45" s="8"/>
      <c r="E45" s="288"/>
      <c r="F45" s="288"/>
      <c r="G45" s="288"/>
      <c r="H45" s="288"/>
      <c r="I45" s="288"/>
      <c r="J45" s="324"/>
      <c r="K45" s="3"/>
      <c r="L45" s="3"/>
      <c r="M45" s="540">
        <f>L45*K45*J45</f>
        <v>0</v>
      </c>
      <c r="N45" s="537">
        <f>'Set-up and other costs'!$B$18*'Additional Study Activities'!M45</f>
        <v>0</v>
      </c>
      <c r="Q45" t="str">
        <f>'Look Up'!$A$12&amp;'Additional Study Activities'!D45</f>
        <v>Additional Costs</v>
      </c>
    </row>
    <row r="46" spans="1:17" ht="13">
      <c r="A46" s="23" t="s">
        <v>34</v>
      </c>
      <c r="B46" s="23"/>
      <c r="C46" s="23"/>
      <c r="D46" s="23"/>
      <c r="E46" s="289"/>
      <c r="F46" s="289"/>
      <c r="G46" s="289"/>
      <c r="H46" s="289"/>
      <c r="I46" s="289"/>
      <c r="J46" s="5"/>
      <c r="K46" s="5"/>
      <c r="L46" s="5"/>
      <c r="M46" s="541">
        <f>SUM(M32:M45)</f>
        <v>0</v>
      </c>
      <c r="N46" s="537">
        <f>'Set-up and other costs'!$B$18*'Additional Study Activities'!M46</f>
        <v>0</v>
      </c>
      <c r="Q46" t="str">
        <f>'Look Up'!$A$12&amp;'Additional Study Activities'!D46</f>
        <v>Additional Costs</v>
      </c>
    </row>
    <row r="47" spans="1:17" ht="13">
      <c r="A47" s="5"/>
      <c r="B47" s="5"/>
      <c r="C47" s="5"/>
      <c r="D47" s="5"/>
      <c r="E47" s="5"/>
      <c r="F47" s="5"/>
      <c r="G47" s="5"/>
      <c r="H47" s="5"/>
      <c r="M47" s="390"/>
      <c r="N47" s="390"/>
      <c r="Q47" t="str">
        <f>'Look Up'!$A$12&amp;'Additional Study Activities'!D47</f>
        <v>Additional Costs</v>
      </c>
    </row>
    <row r="48" spans="1:17" ht="15.5">
      <c r="A48" s="21" t="s">
        <v>1905</v>
      </c>
      <c r="B48" s="21"/>
      <c r="C48" s="21"/>
      <c r="D48" s="21"/>
      <c r="E48"/>
      <c r="F48" s="5"/>
      <c r="G48" s="5"/>
      <c r="H48" s="5"/>
      <c r="M48" s="390"/>
      <c r="N48" s="390"/>
      <c r="Q48" t="str">
        <f>'Look Up'!$A$12&amp;'Additional Study Activities'!D48</f>
        <v>Additional Costs</v>
      </c>
    </row>
    <row r="49" spans="1:17" ht="52">
      <c r="A49" s="9" t="s">
        <v>24</v>
      </c>
      <c r="B49" s="9" t="s">
        <v>2150</v>
      </c>
      <c r="C49" s="9" t="s">
        <v>2149</v>
      </c>
      <c r="D49" s="9" t="s">
        <v>2058</v>
      </c>
      <c r="E49" s="287"/>
      <c r="F49" s="287"/>
      <c r="G49" s="287"/>
      <c r="H49" s="287"/>
      <c r="I49" s="287"/>
      <c r="J49" s="9" t="s">
        <v>25</v>
      </c>
      <c r="K49" s="9" t="s">
        <v>27</v>
      </c>
      <c r="L49" s="9" t="s">
        <v>28</v>
      </c>
      <c r="M49" s="437" t="s">
        <v>2249</v>
      </c>
      <c r="N49" s="428" t="s">
        <v>2279</v>
      </c>
      <c r="O49" s="5"/>
      <c r="P49" s="5"/>
      <c r="Q49"/>
    </row>
    <row r="50" spans="1:17" ht="13">
      <c r="A50" s="278"/>
      <c r="B50" s="278"/>
      <c r="C50" s="325"/>
      <c r="D50" s="8"/>
      <c r="E50" s="288"/>
      <c r="F50" s="288"/>
      <c r="G50" s="288"/>
      <c r="H50" s="288"/>
      <c r="I50" s="288"/>
      <c r="J50" s="324"/>
      <c r="K50" s="3"/>
      <c r="L50" s="3"/>
      <c r="M50" s="540">
        <f>L50*K50*J50</f>
        <v>0</v>
      </c>
      <c r="N50" s="537">
        <f>'Set-up and other costs'!$B$18*'Additional Study Activities'!M50</f>
        <v>0</v>
      </c>
      <c r="O50" s="5"/>
      <c r="P50" s="5"/>
      <c r="Q50" t="str">
        <f>'Look Up'!$A$14&amp;'Additional Study Activities'!D50</f>
        <v>Adhoc costs</v>
      </c>
    </row>
    <row r="51" spans="1:17" ht="13">
      <c r="A51" s="278"/>
      <c r="B51" s="278"/>
      <c r="C51" s="325"/>
      <c r="D51" s="8"/>
      <c r="E51" s="288"/>
      <c r="F51" s="288"/>
      <c r="G51" s="288"/>
      <c r="H51" s="288"/>
      <c r="I51" s="288"/>
      <c r="J51" s="324"/>
      <c r="K51" s="3"/>
      <c r="L51" s="3"/>
      <c r="M51" s="540">
        <f>L51*K51*J51</f>
        <v>0</v>
      </c>
      <c r="N51" s="537">
        <f>'Set-up and other costs'!$B$18*'Additional Study Activities'!M51</f>
        <v>0</v>
      </c>
      <c r="O51" s="5"/>
      <c r="P51" s="5"/>
      <c r="Q51" t="str">
        <f>'Look Up'!$A$14&amp;'Additional Study Activities'!D51</f>
        <v>Adhoc costs</v>
      </c>
    </row>
    <row r="52" spans="1:17" ht="13">
      <c r="A52" s="278"/>
      <c r="B52" s="278"/>
      <c r="C52" s="325"/>
      <c r="D52" s="8"/>
      <c r="E52" s="288"/>
      <c r="F52" s="288"/>
      <c r="G52" s="288"/>
      <c r="H52" s="288"/>
      <c r="I52" s="288"/>
      <c r="J52" s="324"/>
      <c r="K52" s="3"/>
      <c r="L52" s="3"/>
      <c r="M52" s="540">
        <f>L52*K52*J52</f>
        <v>0</v>
      </c>
      <c r="N52" s="537">
        <f>'Set-up and other costs'!$B$18*'Additional Study Activities'!M52</f>
        <v>0</v>
      </c>
      <c r="O52" s="5"/>
      <c r="P52" s="5"/>
      <c r="Q52" t="str">
        <f>'Look Up'!$A$14&amp;'Additional Study Activities'!D52</f>
        <v>Adhoc costs</v>
      </c>
    </row>
    <row r="53" spans="1:17" ht="13">
      <c r="A53" s="278"/>
      <c r="B53" s="278"/>
      <c r="C53" s="325"/>
      <c r="D53" s="8"/>
      <c r="E53" s="288"/>
      <c r="F53" s="288"/>
      <c r="G53" s="288"/>
      <c r="H53" s="288"/>
      <c r="I53" s="288"/>
      <c r="J53" s="324"/>
      <c r="K53" s="3"/>
      <c r="L53" s="3"/>
      <c r="M53" s="540">
        <f>L53*K53*J53</f>
        <v>0</v>
      </c>
      <c r="N53" s="537">
        <f>'Set-up and other costs'!$B$18*'Additional Study Activities'!M53</f>
        <v>0</v>
      </c>
      <c r="O53" s="5"/>
      <c r="P53" s="5"/>
      <c r="Q53" t="str">
        <f>'Look Up'!$A$14&amp;'Additional Study Activities'!D53</f>
        <v>Adhoc costs</v>
      </c>
    </row>
    <row r="54" spans="1:17" ht="13">
      <c r="A54" s="278"/>
      <c r="B54" s="278"/>
      <c r="C54" s="325"/>
      <c r="D54" s="8"/>
      <c r="E54" s="288"/>
      <c r="F54" s="288"/>
      <c r="G54" s="288"/>
      <c r="H54" s="288"/>
      <c r="I54" s="288"/>
      <c r="J54" s="324"/>
      <c r="K54" s="3"/>
      <c r="L54" s="3"/>
      <c r="M54" s="540">
        <f>L54*K54*J54</f>
        <v>0</v>
      </c>
      <c r="N54" s="537">
        <f>'Set-up and other costs'!$B$18*'Additional Study Activities'!M54</f>
        <v>0</v>
      </c>
      <c r="O54" s="5"/>
      <c r="P54" s="5"/>
      <c r="Q54" t="str">
        <f>'Look Up'!$A$14&amp;'Additional Study Activities'!D54</f>
        <v>Adhoc costs</v>
      </c>
    </row>
    <row r="55" spans="1:17" ht="13">
      <c r="A55" s="278"/>
      <c r="B55" s="278"/>
      <c r="C55" s="325"/>
      <c r="D55" s="8"/>
      <c r="E55" s="288"/>
      <c r="F55" s="288"/>
      <c r="G55" s="288"/>
      <c r="H55" s="288"/>
      <c r="I55" s="288"/>
      <c r="J55" s="324"/>
      <c r="K55" s="3"/>
      <c r="L55" s="3"/>
      <c r="M55" s="540">
        <f>L55*K55*J55</f>
        <v>0</v>
      </c>
      <c r="N55" s="537">
        <f>'Set-up and other costs'!$B$18*'Additional Study Activities'!M55</f>
        <v>0</v>
      </c>
      <c r="O55" s="5"/>
      <c r="P55" s="5"/>
      <c r="Q55" t="str">
        <f>'Look Up'!$A$14&amp;'Additional Study Activities'!D55</f>
        <v>Adhoc costs</v>
      </c>
    </row>
    <row r="56" spans="1:17" ht="13">
      <c r="A56" s="278"/>
      <c r="B56" s="278"/>
      <c r="C56" s="325"/>
      <c r="D56" s="8"/>
      <c r="E56" s="288"/>
      <c r="F56" s="288"/>
      <c r="G56" s="288"/>
      <c r="H56" s="288"/>
      <c r="I56" s="288"/>
      <c r="J56" s="324"/>
      <c r="K56" s="3"/>
      <c r="L56" s="3"/>
      <c r="M56" s="540">
        <f>L56*K56*J56</f>
        <v>0</v>
      </c>
      <c r="N56" s="537">
        <f>'Set-up and other costs'!$B$18*'Additional Study Activities'!M56</f>
        <v>0</v>
      </c>
      <c r="O56" s="5"/>
      <c r="P56" s="5"/>
      <c r="Q56" t="str">
        <f>'Look Up'!$A$14&amp;'Additional Study Activities'!D56</f>
        <v>Adhoc costs</v>
      </c>
    </row>
    <row r="57" spans="1:17" ht="13">
      <c r="A57" s="278"/>
      <c r="B57" s="278"/>
      <c r="C57" s="325"/>
      <c r="D57" s="8"/>
      <c r="E57" s="288"/>
      <c r="F57" s="288"/>
      <c r="G57" s="288"/>
      <c r="H57" s="288"/>
      <c r="I57" s="288"/>
      <c r="J57" s="324"/>
      <c r="K57" s="3"/>
      <c r="L57" s="3"/>
      <c r="M57" s="540">
        <f>L57*K57*J57</f>
        <v>0</v>
      </c>
      <c r="N57" s="537">
        <f>'Set-up and other costs'!$B$18*'Additional Study Activities'!M57</f>
        <v>0</v>
      </c>
      <c r="O57" s="5"/>
      <c r="P57" s="5"/>
      <c r="Q57" t="str">
        <f>'Look Up'!$A$14&amp;'Additional Study Activities'!D57</f>
        <v>Adhoc costs</v>
      </c>
    </row>
    <row r="58" spans="1:17" ht="13">
      <c r="A58" s="278"/>
      <c r="B58" s="278"/>
      <c r="C58" s="325"/>
      <c r="D58" s="8"/>
      <c r="E58" s="288"/>
      <c r="F58" s="288"/>
      <c r="G58" s="288"/>
      <c r="H58" s="288"/>
      <c r="I58" s="288"/>
      <c r="J58" s="324"/>
      <c r="K58" s="3"/>
      <c r="L58" s="3"/>
      <c r="M58" s="540">
        <f>L58*K58*J58</f>
        <v>0</v>
      </c>
      <c r="N58" s="537">
        <f>'Set-up and other costs'!$B$18*'Additional Study Activities'!M58</f>
        <v>0</v>
      </c>
      <c r="O58" s="5"/>
      <c r="P58" s="5"/>
      <c r="Q58" t="str">
        <f>'Look Up'!$A$14&amp;'Additional Study Activities'!D58</f>
        <v>Adhoc costs</v>
      </c>
    </row>
    <row r="59" spans="1:17" ht="13">
      <c r="A59" s="278"/>
      <c r="B59" s="278"/>
      <c r="C59" s="325"/>
      <c r="D59" s="8"/>
      <c r="E59" s="288"/>
      <c r="F59" s="288"/>
      <c r="G59" s="288"/>
      <c r="H59" s="288"/>
      <c r="I59" s="288"/>
      <c r="J59" s="324"/>
      <c r="K59" s="3"/>
      <c r="L59" s="3"/>
      <c r="M59" s="540">
        <f>L59*K59*J59</f>
        <v>0</v>
      </c>
      <c r="N59" s="537">
        <f>'Set-up and other costs'!$B$18*'Additional Study Activities'!M59</f>
        <v>0</v>
      </c>
      <c r="O59" s="5"/>
      <c r="P59" s="5"/>
      <c r="Q59" t="str">
        <f>'Look Up'!$A$14&amp;'Additional Study Activities'!D59</f>
        <v>Adhoc costs</v>
      </c>
    </row>
    <row r="60" spans="1:17" ht="13">
      <c r="A60" s="278"/>
      <c r="B60" s="278"/>
      <c r="C60" s="325"/>
      <c r="D60" s="8"/>
      <c r="E60" s="288"/>
      <c r="F60" s="288"/>
      <c r="G60" s="288"/>
      <c r="H60" s="288"/>
      <c r="I60" s="288"/>
      <c r="J60" s="324"/>
      <c r="K60" s="3"/>
      <c r="L60" s="3"/>
      <c r="M60" s="540">
        <f>L60*K60*J60</f>
        <v>0</v>
      </c>
      <c r="N60" s="537">
        <f>'Set-up and other costs'!$B$18*'Additional Study Activities'!M60</f>
        <v>0</v>
      </c>
      <c r="O60" s="5"/>
      <c r="P60" s="5"/>
      <c r="Q60" t="str">
        <f>'Look Up'!$A$14&amp;'Additional Study Activities'!D60</f>
        <v>Adhoc costs</v>
      </c>
    </row>
    <row r="61" spans="1:17" ht="13">
      <c r="A61" s="278"/>
      <c r="B61" s="278"/>
      <c r="C61" s="325"/>
      <c r="D61" s="8"/>
      <c r="E61" s="288"/>
      <c r="F61" s="288"/>
      <c r="G61" s="288"/>
      <c r="H61" s="288"/>
      <c r="I61" s="288"/>
      <c r="J61" s="324"/>
      <c r="K61" s="3"/>
      <c r="L61" s="3"/>
      <c r="M61" s="540">
        <f>L61*K61*J61</f>
        <v>0</v>
      </c>
      <c r="N61" s="537">
        <f>'Set-up and other costs'!$B$18*'Additional Study Activities'!M61</f>
        <v>0</v>
      </c>
      <c r="O61" s="5"/>
      <c r="P61" s="5"/>
      <c r="Q61" t="str">
        <f>'Look Up'!$A$14&amp;'Additional Study Activities'!D61</f>
        <v>Adhoc costs</v>
      </c>
    </row>
    <row r="62" spans="1:17" ht="13">
      <c r="A62" s="278"/>
      <c r="B62" s="278"/>
      <c r="C62" s="325"/>
      <c r="D62" s="8"/>
      <c r="E62" s="288"/>
      <c r="F62" s="288"/>
      <c r="G62" s="288"/>
      <c r="H62" s="288"/>
      <c r="I62" s="288"/>
      <c r="J62" s="324"/>
      <c r="K62" s="3"/>
      <c r="L62" s="3"/>
      <c r="M62" s="540">
        <f>L62*K62*J62</f>
        <v>0</v>
      </c>
      <c r="N62" s="537">
        <f>'Set-up and other costs'!$B$18*'Additional Study Activities'!M62</f>
        <v>0</v>
      </c>
      <c r="O62" s="5"/>
      <c r="P62" s="5"/>
      <c r="Q62" t="str">
        <f>'Look Up'!$A$14&amp;'Additional Study Activities'!D62</f>
        <v>Adhoc costs</v>
      </c>
    </row>
    <row r="63" spans="1:17" ht="13">
      <c r="A63" s="5"/>
      <c r="B63" s="5"/>
      <c r="C63" s="5"/>
      <c r="D63" s="5" t="s">
        <v>50</v>
      </c>
      <c r="E63" s="5"/>
      <c r="F63" s="5"/>
      <c r="G63" s="5"/>
      <c r="H63" s="5"/>
      <c r="I63" s="5"/>
      <c r="J63" s="5"/>
      <c r="K63" s="5"/>
      <c r="L63" s="5"/>
      <c r="M63" s="538"/>
      <c r="N63" s="542">
        <f>SUM(N50:N62)</f>
        <v>0</v>
      </c>
      <c r="O63" s="5"/>
      <c r="P63" s="5"/>
      <c r="Q63" s="5"/>
    </row>
    <row r="64" spans="1:8" ht="13">
      <c r="A64" s="5"/>
      <c r="B64" s="5"/>
      <c r="C64" s="5"/>
      <c r="D64" s="5"/>
      <c r="E64" s="5"/>
      <c r="F64" s="5"/>
      <c r="G64" s="5"/>
      <c r="H64" s="5"/>
    </row>
  </sheetData>
  <sheetProtection password="9541" sheet="1" objects="1" scenarios="1"/>
  <dataValidations count="6">
    <dataValidation type="list" allowBlank="1" showInputMessage="1" showErrorMessage="1" sqref="D50:D62 D32:D45 D4:D26">
      <formula1>AcCord</formula1>
    </dataValidation>
    <dataValidation type="list" allowBlank="1" showInputMessage="1" showErrorMessage="1" sqref="C4:C26 C32:C45 C50:C62">
      <formula1>Supportdepartments</formula1>
    </dataValidation>
    <dataValidation type="list" allowBlank="1" showInputMessage="1" showErrorMessage="1" sqref="D32:D45 D50:D62">
      <formula1>'Look Up'!A35:A39</formula1>
    </dataValidation>
    <dataValidation type="list" allowBlank="1" showInputMessage="1" showErrorMessage="1" sqref="E32:I45">
      <formula1>'Look Up'!A5:A7</formula1>
    </dataValidation>
    <dataValidation type="list" allowBlank="1" showInputMessage="1" showErrorMessage="1" sqref="E50:I62">
      <formula1>'Look Up'!A23:A27</formula1>
    </dataValidation>
    <dataValidation type="list" allowBlank="1" showInputMessage="1" showErrorMessage="1" sqref="D4:D26">
      <formula1>'Look Up'!A5:A9</formula1>
    </dataValidation>
  </dataValidations>
  <pageMargins left="0.7" right="0.7" top="0.75" bottom="0.75" header="0.3" footer="0.3"/>
  <pageSetup paperSize="9" orientation="portrait"/>
  <headerFooter scaleWithDoc="1" alignWithMargins="0" differentFirst="0" differentOddEven="0"/>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S64"/>
  <sheetViews>
    <sheetView topLeftCell="A13" zoomScale="60" view="normal" workbookViewId="0">
      <selection pane="topLeft" activeCell="S17" sqref="S17"/>
    </sheetView>
  </sheetViews>
  <sheetFormatPr defaultColWidth="9.1796875" defaultRowHeight="12.5"/>
  <cols>
    <col min="1" max="1" width="41.7109375" customWidth="1"/>
    <col min="2" max="2" width="13.5703125" customWidth="1"/>
    <col min="3" max="7" width="9.140625" customWidth="1"/>
    <col min="8" max="8" width="22.41796875" customWidth="1"/>
    <col min="9" max="10" width="11.5703125" customWidth="1"/>
    <col min="11" max="11" width="11.5703125" hidden="1" customWidth="1"/>
    <col min="12" max="12" width="11.5703125" customWidth="1"/>
    <col min="13" max="13" width="11.27734375" customWidth="1"/>
    <col min="14" max="16" width="9.140625" hidden="1" customWidth="1"/>
    <col min="17" max="17" width="9.140625" customWidth="1"/>
    <col min="18" max="18" width="16.84765625" customWidth="1"/>
    <col min="19" max="19" width="33.5703125" customWidth="1"/>
    <col min="20" max="16384" width="9.140625" customWidth="1"/>
  </cols>
  <sheetData>
    <row r="1" spans="1:2" ht="15.5">
      <c r="A1" s="21" t="s">
        <v>36</v>
      </c>
      <c r="B1" s="21"/>
    </row>
    <row r="3" spans="1:12" ht="42" customHeight="1">
      <c r="A3" s="9" t="s">
        <v>29</v>
      </c>
      <c r="B3" s="9" t="s">
        <v>2058</v>
      </c>
      <c r="C3" s="9" t="s">
        <v>1981</v>
      </c>
      <c r="D3" s="9" t="s">
        <v>1982</v>
      </c>
      <c r="E3" s="9" t="s">
        <v>9</v>
      </c>
      <c r="F3" s="9" t="s">
        <v>30</v>
      </c>
      <c r="G3" s="9" t="s">
        <v>8</v>
      </c>
      <c r="H3" s="10" t="s">
        <v>2</v>
      </c>
      <c r="I3" s="9" t="s">
        <v>5</v>
      </c>
      <c r="J3" s="9" t="s">
        <v>1852</v>
      </c>
      <c r="K3" s="428" t="s">
        <v>2249</v>
      </c>
      <c r="L3" s="428" t="s">
        <v>2250</v>
      </c>
    </row>
    <row r="4" spans="1:19" ht="13">
      <c r="A4" s="325"/>
      <c r="B4" s="8"/>
      <c r="C4" s="326"/>
      <c r="D4" s="326"/>
      <c r="E4" s="326"/>
      <c r="F4" s="326"/>
      <c r="G4" s="326"/>
      <c r="H4" s="1">
        <f>(C4*'Study Information &amp; rates'!$B$101)+(CRF!D4*'Study Information &amp; rates'!$C$101)+(CRF!E4*'Study Information &amp; rates'!$D$101)+(CRF!F4*'Study Information &amp; rates'!$E$101)+(CRF!G4*'Study Information &amp; rates'!$F$101)</f>
        <v>0</v>
      </c>
      <c r="I4" s="2">
        <f>IF('Study Information &amp; rates'!$B$43="Yes",H4*0.287,0)</f>
        <v>0</v>
      </c>
      <c r="J4" s="2">
        <f>IF((Reconciliation!$C$15)&gt;5000,H4*0.05,0)</f>
        <v>0</v>
      </c>
      <c r="K4" s="232">
        <f>H4+I4+J4</f>
        <v>0</v>
      </c>
      <c r="L4" s="232">
        <f>'Set-up and other costs'!$B$18*K4</f>
        <v>0</v>
      </c>
      <c r="O4" t="str">
        <f>'Look Up'!$A$19&amp;CRF!B4</f>
        <v>CRF</v>
      </c>
      <c r="R4" s="1002" t="s">
        <v>2465</v>
      </c>
      <c r="S4" s="1003"/>
    </row>
    <row r="5" spans="1:19" ht="13">
      <c r="A5" s="325"/>
      <c r="B5" s="8"/>
      <c r="C5" s="326"/>
      <c r="D5" s="326"/>
      <c r="E5" s="326"/>
      <c r="F5" s="326"/>
      <c r="G5" s="326"/>
      <c r="H5" s="1">
        <f>(C5*'Study Information &amp; rates'!$B$101)+(CRF!D5*'Study Information &amp; rates'!$C$101)+(CRF!E5*'Study Information &amp; rates'!$D$101)+(CRF!F5*'Study Information &amp; rates'!$E$101)+(CRF!G5*'Study Information &amp; rates'!$F$101)</f>
        <v>0</v>
      </c>
      <c r="I5" s="2">
        <f>IF('Study Information &amp; rates'!$B$43="Yes",H5*0.287,0)</f>
        <v>0</v>
      </c>
      <c r="J5" s="2">
        <f>IF((Reconciliation!$C$15)&gt;5000,H5*0.05,0)</f>
        <v>0</v>
      </c>
      <c r="K5" s="232">
        <f>H5+I5+J5</f>
        <v>0</v>
      </c>
      <c r="L5" s="232">
        <f>'Set-up and other costs'!$B$18*K5</f>
        <v>0</v>
      </c>
      <c r="O5" t="str">
        <f>'Look Up'!$A$19&amp;CRF!B5</f>
        <v>CRF</v>
      </c>
      <c r="R5" s="1002" t="s">
        <v>2466</v>
      </c>
      <c r="S5" s="1003"/>
    </row>
    <row r="6" spans="1:19" ht="13">
      <c r="A6" s="325"/>
      <c r="B6" s="8"/>
      <c r="C6" s="326"/>
      <c r="D6" s="326"/>
      <c r="E6" s="326"/>
      <c r="F6" s="326"/>
      <c r="G6" s="326"/>
      <c r="H6" s="1">
        <f>(C6*'Study Information &amp; rates'!$B$101)+(CRF!D6*'Study Information &amp; rates'!$C$101)+(CRF!E6*'Study Information &amp; rates'!$D$101)+(CRF!F6*'Study Information &amp; rates'!$E$101)+(CRF!G6*'Study Information &amp; rates'!$F$101)</f>
        <v>0</v>
      </c>
      <c r="I6" s="2">
        <f>IF('Study Information &amp; rates'!$B$43="Yes",H6*0.287,0)</f>
        <v>0</v>
      </c>
      <c r="J6" s="2">
        <f>IF((Reconciliation!$C$15)&gt;5000,H6*0.05,0)</f>
        <v>0</v>
      </c>
      <c r="K6" s="232">
        <f>H6+I6+J6</f>
        <v>0</v>
      </c>
      <c r="L6" s="232">
        <f>'Set-up and other costs'!$B$18*K6</f>
        <v>0</v>
      </c>
      <c r="O6" t="str">
        <f>'Look Up'!$A$19&amp;CRF!B6</f>
        <v>CRF</v>
      </c>
      <c r="R6" s="1002" t="s">
        <v>1999</v>
      </c>
      <c r="S6" s="1003"/>
    </row>
    <row r="7" spans="1:15" ht="13">
      <c r="A7" s="325"/>
      <c r="B7" s="8"/>
      <c r="C7" s="326"/>
      <c r="D7" s="326"/>
      <c r="E7" s="326"/>
      <c r="F7" s="326"/>
      <c r="G7" s="326"/>
      <c r="H7" s="1">
        <f>(C7*'Study Information &amp; rates'!$B$101)+(CRF!D7*'Study Information &amp; rates'!$C$101)+(CRF!E7*'Study Information &amp; rates'!$D$101)+(CRF!F7*'Study Information &amp; rates'!$E$101)+(CRF!G7*'Study Information &amp; rates'!$F$101)</f>
        <v>0</v>
      </c>
      <c r="I7" s="2">
        <f>IF('Study Information &amp; rates'!$B$43="Yes",H7*0.287,0)</f>
        <v>0</v>
      </c>
      <c r="J7" s="2">
        <f>IF((Reconciliation!$C$15)&gt;5000,H7*0.05,0)</f>
        <v>0</v>
      </c>
      <c r="K7" s="232">
        <f>H7+I7+J7</f>
        <v>0</v>
      </c>
      <c r="L7" s="232">
        <f>'Set-up and other costs'!$B$18*K7</f>
        <v>0</v>
      </c>
      <c r="O7" t="str">
        <f>'Look Up'!$A$19&amp;CRF!B7</f>
        <v>CRF</v>
      </c>
    </row>
    <row r="8" spans="1:15" ht="13">
      <c r="A8" s="325"/>
      <c r="B8" s="8"/>
      <c r="C8" s="326"/>
      <c r="D8" s="326"/>
      <c r="E8" s="326"/>
      <c r="F8" s="326"/>
      <c r="G8" s="326"/>
      <c r="H8" s="1">
        <f>(C8*'Study Information &amp; rates'!$B$101)+(CRF!D8*'Study Information &amp; rates'!$C$101)+(CRF!E8*'Study Information &amp; rates'!$D$101)+(CRF!F8*'Study Information &amp; rates'!$E$101)+(CRF!G8*'Study Information &amp; rates'!$F$101)</f>
        <v>0</v>
      </c>
      <c r="I8" s="2">
        <f>IF('Study Information &amp; rates'!$B$43="Yes",H8*0.287,0)</f>
        <v>0</v>
      </c>
      <c r="J8" s="2">
        <f>IF((Reconciliation!$C$15)&gt;5000,H8*0.05,0)</f>
        <v>0</v>
      </c>
      <c r="K8" s="232">
        <f>H8+I8+J8</f>
        <v>0</v>
      </c>
      <c r="L8" s="232">
        <f>'Set-up and other costs'!$B$18*K8</f>
        <v>0</v>
      </c>
      <c r="O8" t="str">
        <f>'Look Up'!$A$19&amp;CRF!B8</f>
        <v>CRF</v>
      </c>
    </row>
    <row r="9" spans="1:15" ht="13">
      <c r="A9" s="325"/>
      <c r="B9" s="8"/>
      <c r="C9" s="326"/>
      <c r="D9" s="326"/>
      <c r="E9" s="326"/>
      <c r="F9" s="326"/>
      <c r="G9" s="326"/>
      <c r="H9" s="1">
        <f>(C9*'Study Information &amp; rates'!$B$101)+(CRF!D9*'Study Information &amp; rates'!$C$101)+(CRF!E9*'Study Information &amp; rates'!$D$101)+(CRF!F9*'Study Information &amp; rates'!$E$101)+(CRF!G9*'Study Information &amp; rates'!$F$101)</f>
        <v>0</v>
      </c>
      <c r="I9" s="2">
        <f>IF('Study Information &amp; rates'!$B$43="Yes",H9*0.287,0)</f>
        <v>0</v>
      </c>
      <c r="J9" s="2">
        <f>IF((Reconciliation!$C$15)&gt;5000,H9*0.05,0)</f>
        <v>0</v>
      </c>
      <c r="K9" s="232">
        <f>H9+I9+J9</f>
        <v>0</v>
      </c>
      <c r="L9" s="232">
        <f>'Set-up and other costs'!$B$18*K9</f>
        <v>0</v>
      </c>
      <c r="O9" t="str">
        <f>'Look Up'!$A$19&amp;CRF!B9</f>
        <v>CRF</v>
      </c>
    </row>
    <row r="10" spans="1:15" ht="13">
      <c r="A10" s="325"/>
      <c r="B10" s="8"/>
      <c r="C10" s="326"/>
      <c r="D10" s="326"/>
      <c r="E10" s="326"/>
      <c r="F10" s="326"/>
      <c r="G10" s="326"/>
      <c r="H10" s="1">
        <f>(C10*'Study Information &amp; rates'!$B$101)+(CRF!D10*'Study Information &amp; rates'!$C$101)+(CRF!E10*'Study Information &amp; rates'!$D$101)+(CRF!F10*'Study Information &amp; rates'!$E$101)+(CRF!G10*'Study Information &amp; rates'!$F$101)</f>
        <v>0</v>
      </c>
      <c r="I10" s="2">
        <f>IF('Study Information &amp; rates'!$B$43="Yes",H10*0.287,0)</f>
        <v>0</v>
      </c>
      <c r="J10" s="2">
        <f>IF((Reconciliation!$C$15)&gt;5000,H10*0.05,0)</f>
        <v>0</v>
      </c>
      <c r="K10" s="232">
        <f>H10+I10+J10</f>
        <v>0</v>
      </c>
      <c r="L10" s="232">
        <f>'Set-up and other costs'!$B$18*K10</f>
        <v>0</v>
      </c>
      <c r="O10" t="str">
        <f>'Look Up'!$A$19&amp;CRF!B10</f>
        <v>CRF</v>
      </c>
    </row>
    <row r="11" spans="1:15" ht="13">
      <c r="A11" s="325"/>
      <c r="B11" s="8"/>
      <c r="C11" s="326"/>
      <c r="D11" s="326"/>
      <c r="E11" s="326"/>
      <c r="F11" s="326"/>
      <c r="G11" s="326"/>
      <c r="H11" s="1">
        <f>(C11*'Study Information &amp; rates'!$B$101)+(CRF!D11*'Study Information &amp; rates'!$C$101)+(CRF!E11*'Study Information &amp; rates'!$D$101)+(CRF!F11*'Study Information &amp; rates'!$E$101)+(CRF!G11*'Study Information &amp; rates'!$F$101)</f>
        <v>0</v>
      </c>
      <c r="I11" s="2">
        <f>IF('Study Information &amp; rates'!$B$43="Yes",H11*0.287,0)</f>
        <v>0</v>
      </c>
      <c r="J11" s="2">
        <f>IF((Reconciliation!$C$15)&gt;5000,H11*0.05,0)</f>
        <v>0</v>
      </c>
      <c r="K11" s="232">
        <f>H11+I11+J11</f>
        <v>0</v>
      </c>
      <c r="L11" s="232">
        <f>'Set-up and other costs'!$B$18*K11</f>
        <v>0</v>
      </c>
      <c r="O11" t="str">
        <f>'Look Up'!$A$19&amp;CRF!B11</f>
        <v>CRF</v>
      </c>
    </row>
    <row r="12" spans="1:15" ht="13">
      <c r="A12" s="325"/>
      <c r="B12" s="8"/>
      <c r="C12" s="326"/>
      <c r="D12" s="326"/>
      <c r="E12" s="326"/>
      <c r="F12" s="326"/>
      <c r="G12" s="326"/>
      <c r="H12" s="1">
        <f>(C12*'Study Information &amp; rates'!$B$101)+(CRF!D12*'Study Information &amp; rates'!$C$101)+(CRF!E12*'Study Information &amp; rates'!$D$101)+(CRF!F12*'Study Information &amp; rates'!$E$101)+(CRF!G12*'Study Information &amp; rates'!$F$101)</f>
        <v>0</v>
      </c>
      <c r="I12" s="2">
        <f>IF('Study Information &amp; rates'!$B$43="Yes",H12*0.287,0)</f>
        <v>0</v>
      </c>
      <c r="J12" s="2">
        <f>IF((Reconciliation!$C$15)&gt;5000,H12*0.05,0)</f>
        <v>0</v>
      </c>
      <c r="K12" s="232">
        <f>H12+I12+J12</f>
        <v>0</v>
      </c>
      <c r="L12" s="232">
        <f>'Set-up and other costs'!$B$18*K12</f>
        <v>0</v>
      </c>
      <c r="O12" t="str">
        <f>'Look Up'!$A$19&amp;CRF!B12</f>
        <v>CRF</v>
      </c>
    </row>
    <row r="13" spans="1:15" ht="13">
      <c r="A13" s="325"/>
      <c r="B13" s="8"/>
      <c r="C13" s="326"/>
      <c r="D13" s="326"/>
      <c r="E13" s="326"/>
      <c r="F13" s="326"/>
      <c r="G13" s="326"/>
      <c r="H13" s="1">
        <f>(C13*'Study Information &amp; rates'!$B$101)+(CRF!D13*'Study Information &amp; rates'!$C$101)+(CRF!E13*'Study Information &amp; rates'!$D$101)+(CRF!F13*'Study Information &amp; rates'!$E$101)+(CRF!G13*'Study Information &amp; rates'!$F$101)</f>
        <v>0</v>
      </c>
      <c r="I13" s="2">
        <f>IF('Study Information &amp; rates'!$B$43="Yes",H13*0.287,0)</f>
        <v>0</v>
      </c>
      <c r="J13" s="2">
        <f>IF((Reconciliation!$C$15)&gt;5000,H13*0.05,0)</f>
        <v>0</v>
      </c>
      <c r="K13" s="232">
        <f>H13+I13+J13</f>
        <v>0</v>
      </c>
      <c r="L13" s="232">
        <f>'Set-up and other costs'!$B$18*K13</f>
        <v>0</v>
      </c>
      <c r="O13" t="str">
        <f>'Look Up'!$A$19&amp;CRF!B13</f>
        <v>CRF</v>
      </c>
    </row>
    <row r="14" spans="1:15" ht="13">
      <c r="A14" s="325"/>
      <c r="B14" s="8"/>
      <c r="C14" s="326"/>
      <c r="D14" s="326"/>
      <c r="E14" s="326"/>
      <c r="F14" s="326"/>
      <c r="G14" s="326"/>
      <c r="H14" s="1">
        <f>(C14*'Study Information &amp; rates'!$B$101)+(CRF!D14*'Study Information &amp; rates'!$C$101)+(CRF!E14*'Study Information &amp; rates'!$D$101)+(CRF!F14*'Study Information &amp; rates'!$E$101)+(CRF!G14*'Study Information &amp; rates'!$F$101)</f>
        <v>0</v>
      </c>
      <c r="I14" s="2">
        <f>IF('Study Information &amp; rates'!$B$43="Yes",H14*0.287,0)</f>
        <v>0</v>
      </c>
      <c r="J14" s="2">
        <f>IF((Reconciliation!$C$15)&gt;5000,H14*0.05,0)</f>
        <v>0</v>
      </c>
      <c r="K14" s="232">
        <f>H14+I14+J14</f>
        <v>0</v>
      </c>
      <c r="L14" s="232">
        <f>'Set-up and other costs'!$B$18*K14</f>
        <v>0</v>
      </c>
      <c r="O14" t="str">
        <f>'Look Up'!$A$19&amp;CRF!B14</f>
        <v>CRF</v>
      </c>
    </row>
    <row r="15" spans="1:15" ht="13">
      <c r="A15" s="325"/>
      <c r="B15" s="8"/>
      <c r="C15" s="326"/>
      <c r="D15" s="326"/>
      <c r="E15" s="326"/>
      <c r="F15" s="326"/>
      <c r="G15" s="326"/>
      <c r="H15" s="1">
        <f>(C15*'Study Information &amp; rates'!$B$101)+(CRF!D15*'Study Information &amp; rates'!$C$101)+(CRF!E15*'Study Information &amp; rates'!$D$101)+(CRF!F15*'Study Information &amp; rates'!$E$101)+(CRF!G15*'Study Information &amp; rates'!$F$101)</f>
        <v>0</v>
      </c>
      <c r="I15" s="2">
        <f>IF('Study Information &amp; rates'!$B$43="Yes",H15*0.287,0)</f>
        <v>0</v>
      </c>
      <c r="J15" s="2">
        <f>IF((Reconciliation!$C$15)&gt;5000,H15*0.05,0)</f>
        <v>0</v>
      </c>
      <c r="K15" s="232">
        <f>H15+I15+J15</f>
        <v>0</v>
      </c>
      <c r="L15" s="232">
        <f>'Set-up and other costs'!$B$18*K15</f>
        <v>0</v>
      </c>
      <c r="O15" t="str">
        <f>'Look Up'!$A$19&amp;CRF!B15</f>
        <v>CRF</v>
      </c>
    </row>
    <row r="16" spans="1:15" ht="13">
      <c r="A16" s="325"/>
      <c r="B16" s="8"/>
      <c r="C16" s="326"/>
      <c r="D16" s="326"/>
      <c r="E16" s="326"/>
      <c r="F16" s="326"/>
      <c r="G16" s="326"/>
      <c r="H16" s="1">
        <f>(C16*'Study Information &amp; rates'!$B$101)+(CRF!D16*'Study Information &amp; rates'!$C$101)+(CRF!E16*'Study Information &amp; rates'!$D$101)+(CRF!F16*'Study Information &amp; rates'!$E$101)+(CRF!G16*'Study Information &amp; rates'!$F$101)</f>
        <v>0</v>
      </c>
      <c r="I16" s="2">
        <f>IF('Study Information &amp; rates'!$B$43="Yes",H16*0.287,0)</f>
        <v>0</v>
      </c>
      <c r="J16" s="2">
        <f>IF((Reconciliation!$C$15)&gt;5000,H16*0.05,0)</f>
        <v>0</v>
      </c>
      <c r="K16" s="232">
        <f>H16+I16+J16</f>
        <v>0</v>
      </c>
      <c r="L16" s="232">
        <f>'Set-up and other costs'!$B$18*K16</f>
        <v>0</v>
      </c>
      <c r="O16" t="str">
        <f>'Look Up'!$A$19&amp;CRF!B16</f>
        <v>CRF</v>
      </c>
    </row>
    <row r="17" spans="1:15" ht="13">
      <c r="A17" s="325"/>
      <c r="B17" s="8"/>
      <c r="C17" s="326"/>
      <c r="D17" s="326"/>
      <c r="E17" s="326"/>
      <c r="F17" s="326"/>
      <c r="G17" s="326"/>
      <c r="H17" s="1">
        <f>(C17*'Study Information &amp; rates'!$B$101)+(CRF!D17*'Study Information &amp; rates'!$C$101)+(CRF!E17*'Study Information &amp; rates'!$D$101)+(CRF!F17*'Study Information &amp; rates'!$E$101)+(CRF!G17*'Study Information &amp; rates'!$F$101)</f>
        <v>0</v>
      </c>
      <c r="I17" s="2">
        <f>IF('Study Information &amp; rates'!$B$43="Yes",H17*0.287,0)</f>
        <v>0</v>
      </c>
      <c r="J17" s="2">
        <f>IF((Reconciliation!$C$15)&gt;5000,H17*0.05,0)</f>
        <v>0</v>
      </c>
      <c r="K17" s="232">
        <f>H17+I17+J17</f>
        <v>0</v>
      </c>
      <c r="L17" s="232">
        <f>'Set-up and other costs'!$B$18*K17</f>
        <v>0</v>
      </c>
      <c r="O17" t="str">
        <f>'Look Up'!$A$19&amp;CRF!B17</f>
        <v>CRF</v>
      </c>
    </row>
    <row r="18" spans="1:15" ht="13">
      <c r="A18" s="326"/>
      <c r="B18" s="8"/>
      <c r="C18" s="326"/>
      <c r="D18" s="326"/>
      <c r="E18" s="326"/>
      <c r="F18" s="326"/>
      <c r="G18" s="326"/>
      <c r="H18" s="1">
        <f>(C18*'Study Information &amp; rates'!$B$101)+(CRF!D18*'Study Information &amp; rates'!$C$101)+(CRF!E18*'Study Information &amp; rates'!$D$101)+(CRF!F18*'Study Information &amp; rates'!$E$101)+(CRF!G18*'Study Information &amp; rates'!$F$101)</f>
        <v>0</v>
      </c>
      <c r="I18" s="2">
        <f>IF('Study Information &amp; rates'!$B$43="Yes",H18*0.287,0)</f>
        <v>0</v>
      </c>
      <c r="J18" s="2">
        <f>IF((Reconciliation!$C$15)&gt;5000,H18*0.05,0)</f>
        <v>0</v>
      </c>
      <c r="K18" s="232">
        <f>H18+I18+J18</f>
        <v>0</v>
      </c>
      <c r="L18" s="232">
        <f>'Set-up and other costs'!$B$18*K18</f>
        <v>0</v>
      </c>
      <c r="O18" t="str">
        <f>'Look Up'!$A$19&amp;CRF!B18</f>
        <v>CRF</v>
      </c>
    </row>
    <row r="19" spans="1:15" ht="13">
      <c r="A19" s="326"/>
      <c r="B19" s="8"/>
      <c r="C19" s="326"/>
      <c r="D19" s="326"/>
      <c r="E19" s="326"/>
      <c r="F19" s="326"/>
      <c r="G19" s="326"/>
      <c r="H19" s="1">
        <f>(C19*'Study Information &amp; rates'!$B$101)+(CRF!D19*'Study Information &amp; rates'!$C$101)+(CRF!E19*'Study Information &amp; rates'!$D$101)+(CRF!F19*'Study Information &amp; rates'!$E$101)+(CRF!G19*'Study Information &amp; rates'!$F$101)</f>
        <v>0</v>
      </c>
      <c r="I19" s="2">
        <f>IF('Study Information &amp; rates'!$B$43="Yes",H19*0.287,0)</f>
        <v>0</v>
      </c>
      <c r="J19" s="2">
        <f>IF((Reconciliation!$C$15)&gt;5000,H19*0.05,0)</f>
        <v>0</v>
      </c>
      <c r="K19" s="232">
        <f>H19+I19+J19</f>
        <v>0</v>
      </c>
      <c r="L19" s="232">
        <f>'Set-up and other costs'!$B$18*K19</f>
        <v>0</v>
      </c>
      <c r="O19" t="str">
        <f>'Look Up'!$A$19&amp;CRF!B19</f>
        <v>CRF</v>
      </c>
    </row>
    <row r="20" spans="1:15" ht="13">
      <c r="A20" s="326"/>
      <c r="B20" s="8"/>
      <c r="C20" s="326"/>
      <c r="D20" s="326"/>
      <c r="E20" s="326"/>
      <c r="F20" s="326"/>
      <c r="G20" s="326"/>
      <c r="H20" s="1">
        <f>(C20*'Study Information &amp; rates'!$B$101)+(CRF!D20*'Study Information &amp; rates'!$C$101)+(CRF!E20*'Study Information &amp; rates'!$D$101)+(CRF!F20*'Study Information &amp; rates'!$E$101)+(CRF!G20*'Study Information &amp; rates'!$F$101)</f>
        <v>0</v>
      </c>
      <c r="I20" s="2">
        <f>IF('Study Information &amp; rates'!$B$43="Yes",H20*0.287,0)</f>
        <v>0</v>
      </c>
      <c r="J20" s="2">
        <f>IF((Reconciliation!$C$15)&gt;5000,H20*0.05,0)</f>
        <v>0</v>
      </c>
      <c r="K20" s="232">
        <f>H20+I20+J20</f>
        <v>0</v>
      </c>
      <c r="L20" s="232">
        <f>'Set-up and other costs'!$B$18*K20</f>
        <v>0</v>
      </c>
      <c r="O20" t="str">
        <f>'Look Up'!$A$19&amp;CRF!B20</f>
        <v>CRF</v>
      </c>
    </row>
    <row r="21" spans="1:15" ht="13">
      <c r="A21" s="326"/>
      <c r="B21" s="8"/>
      <c r="C21" s="326"/>
      <c r="D21" s="326"/>
      <c r="E21" s="326"/>
      <c r="F21" s="326"/>
      <c r="G21" s="326"/>
      <c r="H21" s="1">
        <f>(C21*'Study Information &amp; rates'!$B$101)+(CRF!D21*'Study Information &amp; rates'!$C$101)+(CRF!E21*'Study Information &amp; rates'!$D$101)+(CRF!F21*'Study Information &amp; rates'!$E$101)+(CRF!G21*'Study Information &amp; rates'!$F$101)</f>
        <v>0</v>
      </c>
      <c r="I21" s="2">
        <f>IF('Study Information &amp; rates'!$B$43="Yes",H21*0.287,0)</f>
        <v>0</v>
      </c>
      <c r="J21" s="2">
        <f>IF((Reconciliation!$C$15)&gt;5000,H21*0.05,0)</f>
        <v>0</v>
      </c>
      <c r="K21" s="232">
        <f>H21+I21+J21</f>
        <v>0</v>
      </c>
      <c r="L21" s="232">
        <f>'Set-up and other costs'!$B$18*K21</f>
        <v>0</v>
      </c>
      <c r="O21" t="str">
        <f>'Look Up'!$A$19&amp;CRF!B21</f>
        <v>CRF</v>
      </c>
    </row>
    <row r="22" spans="1:15" ht="13">
      <c r="A22" s="326"/>
      <c r="B22" s="8"/>
      <c r="C22" s="326"/>
      <c r="D22" s="326"/>
      <c r="E22" s="326"/>
      <c r="F22" s="326"/>
      <c r="G22" s="326"/>
      <c r="H22" s="1">
        <f>(C22*'Study Information &amp; rates'!$B$101)+(CRF!D22*'Study Information &amp; rates'!$C$101)+(CRF!E22*'Study Information &amp; rates'!$D$101)+(CRF!F22*'Study Information &amp; rates'!$E$101)+(CRF!G22*'Study Information &amp; rates'!$F$101)</f>
        <v>0</v>
      </c>
      <c r="I22" s="2">
        <f>IF('Study Information &amp; rates'!$B$43="Yes",H22*0.287,0)</f>
        <v>0</v>
      </c>
      <c r="J22" s="2">
        <f>IF((Reconciliation!$C$15)&gt;5000,H22*0.05,0)</f>
        <v>0</v>
      </c>
      <c r="K22" s="232">
        <f>H22+I22+J22</f>
        <v>0</v>
      </c>
      <c r="L22" s="232">
        <f>'Set-up and other costs'!$B$18*K22</f>
        <v>0</v>
      </c>
      <c r="O22" t="str">
        <f>'Look Up'!$A$19&amp;CRF!B22</f>
        <v>CRF</v>
      </c>
    </row>
    <row r="23" spans="1:15" ht="13">
      <c r="A23" s="326"/>
      <c r="B23" s="8"/>
      <c r="C23" s="326"/>
      <c r="D23" s="326"/>
      <c r="E23" s="326"/>
      <c r="F23" s="326"/>
      <c r="G23" s="326"/>
      <c r="H23" s="1">
        <f>(C23*'Study Information &amp; rates'!$B$101)+(CRF!D23*'Study Information &amp; rates'!$C$101)+(CRF!E23*'Study Information &amp; rates'!$D$101)+(CRF!F23*'Study Information &amp; rates'!$E$101)+(CRF!G23*'Study Information &amp; rates'!$F$101)</f>
        <v>0</v>
      </c>
      <c r="I23" s="2">
        <f>IF('Study Information &amp; rates'!$B$43="Yes",H23*0.287,0)</f>
        <v>0</v>
      </c>
      <c r="J23" s="2">
        <f>IF((Reconciliation!$C$15)&gt;5000,H23*0.05,0)</f>
        <v>0</v>
      </c>
      <c r="K23" s="232">
        <f>H23+I23+J23</f>
        <v>0</v>
      </c>
      <c r="L23" s="232">
        <f>'Set-up and other costs'!$B$18*K23</f>
        <v>0</v>
      </c>
      <c r="O23" t="str">
        <f>'Look Up'!$A$19&amp;CRF!B23</f>
        <v>CRF</v>
      </c>
    </row>
    <row r="24" spans="1:15" ht="13">
      <c r="A24" s="326"/>
      <c r="B24" s="8"/>
      <c r="C24" s="326"/>
      <c r="D24" s="326"/>
      <c r="E24" s="326"/>
      <c r="F24" s="326"/>
      <c r="G24" s="326"/>
      <c r="H24" s="1">
        <f>(C24*'Study Information &amp; rates'!$B$101)+(CRF!D24*'Study Information &amp; rates'!$C$101)+(CRF!E24*'Study Information &amp; rates'!$D$101)+(CRF!F24*'Study Information &amp; rates'!$E$101)+(CRF!G24*'Study Information &amp; rates'!$F$101)</f>
        <v>0</v>
      </c>
      <c r="I24" s="2">
        <f>IF('Study Information &amp; rates'!$B$43="Yes",H24*0.287,0)</f>
        <v>0</v>
      </c>
      <c r="J24" s="2">
        <f>IF((Reconciliation!$C$15)&gt;5000,H24*0.05,0)</f>
        <v>0</v>
      </c>
      <c r="K24" s="232">
        <f>H24+I24+J24</f>
        <v>0</v>
      </c>
      <c r="L24" s="232">
        <f>'Set-up and other costs'!$B$18*K24</f>
        <v>0</v>
      </c>
      <c r="O24" t="str">
        <f>'Look Up'!$A$19&amp;CRF!B24</f>
        <v>CRF</v>
      </c>
    </row>
    <row r="25" spans="1:15" ht="13">
      <c r="A25" s="326"/>
      <c r="B25" s="8"/>
      <c r="C25" s="326"/>
      <c r="D25" s="326"/>
      <c r="E25" s="326"/>
      <c r="F25" s="326"/>
      <c r="G25" s="326"/>
      <c r="H25" s="1">
        <f>(C25*'Study Information &amp; rates'!$B$101)+(CRF!D25*'Study Information &amp; rates'!$C$101)+(CRF!E25*'Study Information &amp; rates'!$D$101)+(CRF!F25*'Study Information &amp; rates'!$E$101)+(CRF!G25*'Study Information &amp; rates'!$F$101)</f>
        <v>0</v>
      </c>
      <c r="I25" s="2">
        <f>IF('Study Information &amp; rates'!$B$43="Yes",H25*0.287,0)</f>
        <v>0</v>
      </c>
      <c r="J25" s="2">
        <f>IF((Reconciliation!$C$15)&gt;5000,H25*0.05,0)</f>
        <v>0</v>
      </c>
      <c r="K25" s="232">
        <f>H25+I25+J25</f>
        <v>0</v>
      </c>
      <c r="L25" s="232">
        <f>'Set-up and other costs'!$B$18*K25</f>
        <v>0</v>
      </c>
      <c r="O25" t="str">
        <f>'Look Up'!$A$19&amp;CRF!B25</f>
        <v>CRF</v>
      </c>
    </row>
    <row r="26" spans="1:15" ht="13">
      <c r="A26" s="326"/>
      <c r="B26" s="8"/>
      <c r="C26" s="326"/>
      <c r="D26" s="326"/>
      <c r="E26" s="326"/>
      <c r="F26" s="326"/>
      <c r="G26" s="326"/>
      <c r="H26" s="1">
        <f>(C26*'Study Information &amp; rates'!$B$101)+(CRF!D26*'Study Information &amp; rates'!$C$101)+(CRF!E26*'Study Information &amp; rates'!$D$101)+(CRF!F26*'Study Information &amp; rates'!$E$101)+(CRF!G26*'Study Information &amp; rates'!$F$101)</f>
        <v>0</v>
      </c>
      <c r="I26" s="2">
        <f>IF('Study Information &amp; rates'!$B$43="Yes",H26*0.287,0)</f>
        <v>0</v>
      </c>
      <c r="J26" s="2">
        <f>IF((Reconciliation!$C$15)&gt;5000,H26*0.05,0)</f>
        <v>0</v>
      </c>
      <c r="K26" s="232">
        <f>H26+I26+J26</f>
        <v>0</v>
      </c>
      <c r="L26" s="232">
        <f>'Set-up and other costs'!$B$18*K26</f>
        <v>0</v>
      </c>
      <c r="O26" t="str">
        <f>'Look Up'!$A$19&amp;CRF!B26</f>
        <v>CRF</v>
      </c>
    </row>
    <row r="27" spans="11:15" s="5" customFormat="1" ht="13">
      <c r="K27" s="478">
        <f>SUM(K4:K26)</f>
        <v>0</v>
      </c>
      <c r="L27" s="232">
        <f>'Set-up and other costs'!$B$18*K27</f>
        <v>0</v>
      </c>
      <c r="O27"/>
    </row>
    <row r="28" spans="15:15" s="5" customFormat="1" ht="13">
      <c r="O28"/>
    </row>
    <row r="29" spans="1:15" s="5" customFormat="1" ht="15.5">
      <c r="A29" s="21" t="s">
        <v>31</v>
      </c>
      <c r="B29" s="21"/>
      <c r="O29"/>
    </row>
    <row r="30" spans="15:15" s="5" customFormat="1" ht="13">
      <c r="O30"/>
    </row>
    <row r="31" spans="1:12" ht="52">
      <c r="A31" s="428" t="s">
        <v>24</v>
      </c>
      <c r="B31" s="428" t="s">
        <v>2058</v>
      </c>
      <c r="C31" s="560"/>
      <c r="D31" s="560"/>
      <c r="E31" s="560"/>
      <c r="F31" s="560"/>
      <c r="G31" s="560"/>
      <c r="H31" s="428" t="s">
        <v>25</v>
      </c>
      <c r="I31" s="428" t="s">
        <v>27</v>
      </c>
      <c r="J31" s="428" t="s">
        <v>28</v>
      </c>
      <c r="K31" s="428" t="s">
        <v>2249</v>
      </c>
      <c r="L31" s="428" t="s">
        <v>2250</v>
      </c>
    </row>
    <row r="32" spans="1:15" ht="13">
      <c r="A32" s="278"/>
      <c r="B32" s="8"/>
      <c r="C32" s="288"/>
      <c r="D32" s="288"/>
      <c r="E32" s="288"/>
      <c r="F32" s="288"/>
      <c r="G32" s="288"/>
      <c r="H32" s="324"/>
      <c r="I32" s="3"/>
      <c r="J32" s="3"/>
      <c r="K32" s="540">
        <f>J32*I32*H32</f>
        <v>0</v>
      </c>
      <c r="L32" s="537">
        <f>'Set-up and other costs'!$B$18*K32</f>
        <v>0</v>
      </c>
      <c r="O32" t="str">
        <f>'Look Up'!$A$19&amp;CRF!B32</f>
        <v>CRF</v>
      </c>
    </row>
    <row r="33" spans="1:15" ht="13">
      <c r="A33" s="278"/>
      <c r="B33" s="8"/>
      <c r="C33" s="288"/>
      <c r="D33" s="288"/>
      <c r="E33" s="288"/>
      <c r="F33" s="288"/>
      <c r="G33" s="288"/>
      <c r="H33" s="324"/>
      <c r="I33" s="3"/>
      <c r="J33" s="3"/>
      <c r="K33" s="540">
        <f>J33*I33*H33</f>
        <v>0</v>
      </c>
      <c r="L33" s="537">
        <f>'Set-up and other costs'!$B$18*K33</f>
        <v>0</v>
      </c>
      <c r="O33" t="str">
        <f>'Look Up'!$A$19&amp;CRF!B33</f>
        <v>CRF</v>
      </c>
    </row>
    <row r="34" spans="1:15" ht="13">
      <c r="A34" s="278"/>
      <c r="B34" s="8"/>
      <c r="C34" s="288"/>
      <c r="D34" s="288"/>
      <c r="E34" s="288"/>
      <c r="F34" s="288"/>
      <c r="G34" s="288"/>
      <c r="H34" s="324"/>
      <c r="I34" s="3"/>
      <c r="J34" s="3"/>
      <c r="K34" s="540">
        <f>J34*I34*H34</f>
        <v>0</v>
      </c>
      <c r="L34" s="537">
        <f>'Set-up and other costs'!$B$18*K34</f>
        <v>0</v>
      </c>
      <c r="O34" t="str">
        <f>'Look Up'!$A$19&amp;CRF!B34</f>
        <v>CRF</v>
      </c>
    </row>
    <row r="35" spans="1:15" ht="13">
      <c r="A35" s="278"/>
      <c r="B35" s="8"/>
      <c r="C35" s="288"/>
      <c r="D35" s="288"/>
      <c r="E35" s="288"/>
      <c r="F35" s="288"/>
      <c r="G35" s="288"/>
      <c r="H35" s="324"/>
      <c r="I35" s="3"/>
      <c r="J35" s="3"/>
      <c r="K35" s="540">
        <f>J35*I35*H35</f>
        <v>0</v>
      </c>
      <c r="L35" s="537">
        <f>'Set-up and other costs'!$B$18*K35</f>
        <v>0</v>
      </c>
      <c r="O35" t="str">
        <f>'Look Up'!$A$19&amp;CRF!B35</f>
        <v>CRF</v>
      </c>
    </row>
    <row r="36" spans="1:15" ht="13">
      <c r="A36" s="278"/>
      <c r="B36" s="8"/>
      <c r="C36" s="288"/>
      <c r="D36" s="288"/>
      <c r="E36" s="288"/>
      <c r="F36" s="288"/>
      <c r="G36" s="288"/>
      <c r="H36" s="324"/>
      <c r="I36" s="3"/>
      <c r="J36" s="3"/>
      <c r="K36" s="540">
        <f>J36*I36*H36</f>
        <v>0</v>
      </c>
      <c r="L36" s="537">
        <f>'Set-up and other costs'!$B$18*K36</f>
        <v>0</v>
      </c>
      <c r="O36" t="str">
        <f>'Look Up'!$A$19&amp;CRF!B36</f>
        <v>CRF</v>
      </c>
    </row>
    <row r="37" spans="1:15" ht="13">
      <c r="A37" s="278"/>
      <c r="B37" s="8"/>
      <c r="C37" s="288"/>
      <c r="D37" s="288"/>
      <c r="E37" s="288"/>
      <c r="F37" s="288"/>
      <c r="G37" s="288"/>
      <c r="H37" s="324"/>
      <c r="I37" s="3"/>
      <c r="J37" s="3"/>
      <c r="K37" s="540">
        <f>J37*I37*H37</f>
        <v>0</v>
      </c>
      <c r="L37" s="537">
        <f>'Set-up and other costs'!$B$18*K37</f>
        <v>0</v>
      </c>
      <c r="O37" t="str">
        <f>'Look Up'!$A$19&amp;CRF!B37</f>
        <v>CRF</v>
      </c>
    </row>
    <row r="38" spans="1:15" ht="13">
      <c r="A38" s="278"/>
      <c r="B38" s="8"/>
      <c r="C38" s="288"/>
      <c r="D38" s="288"/>
      <c r="E38" s="288"/>
      <c r="F38" s="288"/>
      <c r="G38" s="288"/>
      <c r="H38" s="324"/>
      <c r="I38" s="3"/>
      <c r="J38" s="3"/>
      <c r="K38" s="540">
        <f>J38*I38*H38</f>
        <v>0</v>
      </c>
      <c r="L38" s="537">
        <f>'Set-up and other costs'!$B$18*K38</f>
        <v>0</v>
      </c>
      <c r="O38" t="str">
        <f>'Look Up'!$A$19&amp;CRF!B38</f>
        <v>CRF</v>
      </c>
    </row>
    <row r="39" spans="1:15" ht="13">
      <c r="A39" s="278"/>
      <c r="B39" s="8"/>
      <c r="C39" s="288"/>
      <c r="D39" s="288"/>
      <c r="E39" s="288"/>
      <c r="F39" s="288"/>
      <c r="G39" s="288"/>
      <c r="H39" s="324"/>
      <c r="I39" s="3"/>
      <c r="J39" s="3"/>
      <c r="K39" s="540">
        <f>J39*I39*H39</f>
        <v>0</v>
      </c>
      <c r="L39" s="537">
        <f>'Set-up and other costs'!$B$18*K39</f>
        <v>0</v>
      </c>
      <c r="O39" t="str">
        <f>'Look Up'!$A$19&amp;CRF!B39</f>
        <v>CRF</v>
      </c>
    </row>
    <row r="40" spans="1:15" ht="13">
      <c r="A40" s="278"/>
      <c r="B40" s="8"/>
      <c r="C40" s="288"/>
      <c r="D40" s="288"/>
      <c r="E40" s="288"/>
      <c r="F40" s="288"/>
      <c r="G40" s="288"/>
      <c r="H40" s="324"/>
      <c r="I40" s="3"/>
      <c r="J40" s="3"/>
      <c r="K40" s="540">
        <f>J40*I40*H40</f>
        <v>0</v>
      </c>
      <c r="L40" s="537">
        <f>'Set-up and other costs'!$B$18*K40</f>
        <v>0</v>
      </c>
      <c r="O40" t="str">
        <f>'Look Up'!$A$19&amp;CRF!B40</f>
        <v>CRF</v>
      </c>
    </row>
    <row r="41" spans="1:15" ht="13">
      <c r="A41" s="278"/>
      <c r="B41" s="8"/>
      <c r="C41" s="288"/>
      <c r="D41" s="288"/>
      <c r="E41" s="288"/>
      <c r="F41" s="288"/>
      <c r="G41" s="288"/>
      <c r="H41" s="324"/>
      <c r="I41" s="3"/>
      <c r="J41" s="3"/>
      <c r="K41" s="540">
        <f>J41*I41*H41</f>
        <v>0</v>
      </c>
      <c r="L41" s="537">
        <f>'Set-up and other costs'!$B$18*K41</f>
        <v>0</v>
      </c>
      <c r="O41" t="str">
        <f>'Look Up'!$A$19&amp;CRF!B41</f>
        <v>CRF</v>
      </c>
    </row>
    <row r="42" spans="1:15" ht="13">
      <c r="A42" s="278"/>
      <c r="B42" s="8"/>
      <c r="C42" s="288"/>
      <c r="D42" s="288"/>
      <c r="E42" s="288"/>
      <c r="F42" s="288"/>
      <c r="G42" s="288"/>
      <c r="H42" s="324"/>
      <c r="I42" s="3"/>
      <c r="J42" s="3"/>
      <c r="K42" s="540">
        <f>J42*I42*H42</f>
        <v>0</v>
      </c>
      <c r="L42" s="537">
        <f>'Set-up and other costs'!$B$18*K42</f>
        <v>0</v>
      </c>
      <c r="O42" t="str">
        <f>'Look Up'!$A$19&amp;CRF!B42</f>
        <v>CRF</v>
      </c>
    </row>
    <row r="43" spans="1:15" ht="13">
      <c r="A43" s="278"/>
      <c r="B43" s="8"/>
      <c r="C43" s="288"/>
      <c r="D43" s="288"/>
      <c r="E43" s="288"/>
      <c r="F43" s="288"/>
      <c r="G43" s="288"/>
      <c r="H43" s="324"/>
      <c r="I43" s="3"/>
      <c r="J43" s="3"/>
      <c r="K43" s="540">
        <f>J43*I43*H43</f>
        <v>0</v>
      </c>
      <c r="L43" s="537">
        <f>'Set-up and other costs'!$B$18*K43</f>
        <v>0</v>
      </c>
      <c r="O43" t="str">
        <f>'Look Up'!$A$19&amp;CRF!B43</f>
        <v>CRF</v>
      </c>
    </row>
    <row r="44" spans="1:15" ht="13">
      <c r="A44" s="278"/>
      <c r="B44" s="8"/>
      <c r="C44" s="288"/>
      <c r="D44" s="288"/>
      <c r="E44" s="288"/>
      <c r="F44" s="288"/>
      <c r="G44" s="288"/>
      <c r="H44" s="324"/>
      <c r="I44" s="3"/>
      <c r="J44" s="3"/>
      <c r="K44" s="540">
        <f>J44*I44*H44</f>
        <v>0</v>
      </c>
      <c r="L44" s="537">
        <f>'Set-up and other costs'!$B$18*K44</f>
        <v>0</v>
      </c>
      <c r="O44" t="str">
        <f>'Look Up'!$A$19&amp;CRF!B44</f>
        <v>CRF</v>
      </c>
    </row>
    <row r="45" spans="1:15" ht="13">
      <c r="A45" s="278"/>
      <c r="B45" s="8"/>
      <c r="C45" s="288"/>
      <c r="D45" s="288"/>
      <c r="E45" s="288"/>
      <c r="F45" s="288"/>
      <c r="G45" s="288"/>
      <c r="H45" s="324"/>
      <c r="I45" s="3"/>
      <c r="J45" s="3"/>
      <c r="K45" s="540">
        <f>J45*I45*H45</f>
        <v>0</v>
      </c>
      <c r="L45" s="537">
        <f>'Set-up and other costs'!$B$18*K45</f>
        <v>0</v>
      </c>
      <c r="O45" t="str">
        <f>'Look Up'!$A$19&amp;CRF!B45</f>
        <v>CRF</v>
      </c>
    </row>
    <row r="46" spans="1:12" ht="13">
      <c r="A46" s="23" t="s">
        <v>34</v>
      </c>
      <c r="B46" s="23"/>
      <c r="C46" s="289"/>
      <c r="D46" s="289"/>
      <c r="E46" s="289"/>
      <c r="F46" s="289"/>
      <c r="G46" s="289"/>
      <c r="H46" s="5"/>
      <c r="I46" s="5"/>
      <c r="J46" s="5"/>
      <c r="K46" s="541">
        <f>SUM(K32:K45)</f>
        <v>0</v>
      </c>
      <c r="L46" s="537">
        <f>'Set-up and other costs'!$B$18*K46</f>
        <v>0</v>
      </c>
    </row>
    <row r="47" spans="1:6" ht="13">
      <c r="A47" s="5"/>
      <c r="B47" s="5"/>
      <c r="C47" s="5"/>
      <c r="D47" s="5"/>
      <c r="E47" s="5"/>
      <c r="F47" s="5"/>
    </row>
    <row r="48" spans="1:6" ht="15.5">
      <c r="A48" s="21" t="s">
        <v>1905</v>
      </c>
      <c r="B48" s="21"/>
      <c r="D48" s="5"/>
      <c r="E48" s="5"/>
      <c r="F48" s="5"/>
    </row>
    <row r="49" spans="1:14" ht="52">
      <c r="A49" s="428" t="s">
        <v>24</v>
      </c>
      <c r="B49" s="428" t="s">
        <v>2058</v>
      </c>
      <c r="C49" s="560"/>
      <c r="D49" s="560"/>
      <c r="E49" s="560"/>
      <c r="F49" s="560"/>
      <c r="G49" s="560"/>
      <c r="H49" s="428" t="s">
        <v>25</v>
      </c>
      <c r="I49" s="428" t="s">
        <v>27</v>
      </c>
      <c r="J49" s="428" t="s">
        <v>28</v>
      </c>
      <c r="K49" s="428" t="s">
        <v>2249</v>
      </c>
      <c r="L49" s="428" t="s">
        <v>2250</v>
      </c>
      <c r="M49" s="5"/>
      <c r="N49" s="5"/>
    </row>
    <row r="50" spans="1:15" ht="13">
      <c r="A50" s="278"/>
      <c r="B50" s="8"/>
      <c r="C50" s="288"/>
      <c r="D50" s="288"/>
      <c r="E50" s="288"/>
      <c r="F50" s="288"/>
      <c r="G50" s="288"/>
      <c r="H50" s="324"/>
      <c r="I50" s="3"/>
      <c r="J50" s="3"/>
      <c r="K50" s="540">
        <f>J50*I50*H50</f>
        <v>0</v>
      </c>
      <c r="L50" s="537">
        <f>'Set-up and other costs'!$B$18*K50</f>
        <v>0</v>
      </c>
      <c r="M50" s="5"/>
      <c r="N50" s="5"/>
      <c r="O50" t="str">
        <f>'Look Up'!$A$19&amp;CRF!B50</f>
        <v>CRF</v>
      </c>
    </row>
    <row r="51" spans="1:15" ht="13">
      <c r="A51" s="278"/>
      <c r="B51" s="8"/>
      <c r="C51" s="288"/>
      <c r="D51" s="288"/>
      <c r="E51" s="288"/>
      <c r="F51" s="288"/>
      <c r="G51" s="288"/>
      <c r="H51" s="324"/>
      <c r="I51" s="3"/>
      <c r="J51" s="3"/>
      <c r="K51" s="540">
        <f>J51*I51*H51</f>
        <v>0</v>
      </c>
      <c r="L51" s="537">
        <f>'Set-up and other costs'!$B$18*K51</f>
        <v>0</v>
      </c>
      <c r="M51" s="5"/>
      <c r="N51" s="5"/>
      <c r="O51" t="str">
        <f>'Look Up'!$A$19&amp;CRF!B51</f>
        <v>CRF</v>
      </c>
    </row>
    <row r="52" spans="1:15" ht="13">
      <c r="A52" s="278"/>
      <c r="B52" s="8"/>
      <c r="C52" s="288"/>
      <c r="D52" s="288"/>
      <c r="E52" s="288"/>
      <c r="F52" s="288"/>
      <c r="G52" s="288"/>
      <c r="H52" s="324"/>
      <c r="I52" s="3"/>
      <c r="J52" s="3"/>
      <c r="K52" s="540">
        <f>J52*I52*H52</f>
        <v>0</v>
      </c>
      <c r="L52" s="537">
        <f>'Set-up and other costs'!$B$18*K52</f>
        <v>0</v>
      </c>
      <c r="M52" s="5"/>
      <c r="N52" s="5"/>
      <c r="O52" t="str">
        <f>'Look Up'!$A$19&amp;CRF!B52</f>
        <v>CRF</v>
      </c>
    </row>
    <row r="53" spans="1:15" ht="13">
      <c r="A53" s="278"/>
      <c r="B53" s="8"/>
      <c r="C53" s="288"/>
      <c r="D53" s="288"/>
      <c r="E53" s="288"/>
      <c r="F53" s="288"/>
      <c r="G53" s="288"/>
      <c r="H53" s="324"/>
      <c r="I53" s="3"/>
      <c r="J53" s="3"/>
      <c r="K53" s="540">
        <f>J53*I53*H53</f>
        <v>0</v>
      </c>
      <c r="L53" s="537">
        <f>'Set-up and other costs'!$B$18*K53</f>
        <v>0</v>
      </c>
      <c r="M53" s="5"/>
      <c r="N53" s="5"/>
      <c r="O53" t="str">
        <f>'Look Up'!$A$19&amp;CRF!B53</f>
        <v>CRF</v>
      </c>
    </row>
    <row r="54" spans="1:15" ht="13">
      <c r="A54" s="278"/>
      <c r="B54" s="8"/>
      <c r="C54" s="288"/>
      <c r="D54" s="288"/>
      <c r="E54" s="288"/>
      <c r="F54" s="288"/>
      <c r="G54" s="288"/>
      <c r="H54" s="324"/>
      <c r="I54" s="3"/>
      <c r="J54" s="3"/>
      <c r="K54" s="540">
        <f>J54*I54*H54</f>
        <v>0</v>
      </c>
      <c r="L54" s="537">
        <f>'Set-up and other costs'!$B$18*K54</f>
        <v>0</v>
      </c>
      <c r="M54" s="5"/>
      <c r="N54" s="5"/>
      <c r="O54" t="str">
        <f>'Look Up'!$A$19&amp;CRF!B54</f>
        <v>CRF</v>
      </c>
    </row>
    <row r="55" spans="1:15" ht="13">
      <c r="A55" s="278"/>
      <c r="B55" s="8"/>
      <c r="C55" s="288"/>
      <c r="D55" s="288"/>
      <c r="E55" s="288"/>
      <c r="F55" s="288"/>
      <c r="G55" s="288"/>
      <c r="H55" s="324"/>
      <c r="I55" s="3"/>
      <c r="J55" s="3"/>
      <c r="K55" s="540">
        <f>J55*I55*H55</f>
        <v>0</v>
      </c>
      <c r="L55" s="537">
        <f>'Set-up and other costs'!$B$18*K55</f>
        <v>0</v>
      </c>
      <c r="M55" s="5"/>
      <c r="N55" s="5"/>
      <c r="O55" t="str">
        <f>'Look Up'!$A$19&amp;CRF!B55</f>
        <v>CRF</v>
      </c>
    </row>
    <row r="56" spans="1:15" ht="13">
      <c r="A56" s="278"/>
      <c r="B56" s="8"/>
      <c r="C56" s="288"/>
      <c r="D56" s="288"/>
      <c r="E56" s="288"/>
      <c r="F56" s="288"/>
      <c r="G56" s="288"/>
      <c r="H56" s="324"/>
      <c r="I56" s="3"/>
      <c r="J56" s="3"/>
      <c r="K56" s="540">
        <f>J56*I56*H56</f>
        <v>0</v>
      </c>
      <c r="L56" s="537">
        <f>'Set-up and other costs'!$B$18*K56</f>
        <v>0</v>
      </c>
      <c r="M56" s="5"/>
      <c r="N56" s="5"/>
      <c r="O56" t="str">
        <f>'Look Up'!$A$19&amp;CRF!B56</f>
        <v>CRF</v>
      </c>
    </row>
    <row r="57" spans="1:15" ht="13">
      <c r="A57" s="278"/>
      <c r="B57" s="8"/>
      <c r="C57" s="288"/>
      <c r="D57" s="288"/>
      <c r="E57" s="288"/>
      <c r="F57" s="288"/>
      <c r="G57" s="288"/>
      <c r="H57" s="324"/>
      <c r="I57" s="3"/>
      <c r="J57" s="3"/>
      <c r="K57" s="540">
        <f>J57*I57*H57</f>
        <v>0</v>
      </c>
      <c r="L57" s="537">
        <f>'Set-up and other costs'!$B$18*K57</f>
        <v>0</v>
      </c>
      <c r="M57" s="5"/>
      <c r="N57" s="5"/>
      <c r="O57" t="str">
        <f>'Look Up'!$A$19&amp;CRF!B57</f>
        <v>CRF</v>
      </c>
    </row>
    <row r="58" spans="1:15" ht="13">
      <c r="A58" s="278"/>
      <c r="B58" s="8"/>
      <c r="C58" s="288"/>
      <c r="D58" s="288"/>
      <c r="E58" s="288"/>
      <c r="F58" s="288"/>
      <c r="G58" s="288"/>
      <c r="H58" s="324"/>
      <c r="I58" s="3"/>
      <c r="J58" s="3"/>
      <c r="K58" s="540">
        <f>J58*I58*H58</f>
        <v>0</v>
      </c>
      <c r="L58" s="537">
        <f>'Set-up and other costs'!$B$18*K58</f>
        <v>0</v>
      </c>
      <c r="M58" s="5"/>
      <c r="N58" s="5"/>
      <c r="O58" t="str">
        <f>'Look Up'!$A$19&amp;CRF!B58</f>
        <v>CRF</v>
      </c>
    </row>
    <row r="59" spans="1:15" ht="13">
      <c r="A59" s="278"/>
      <c r="B59" s="8"/>
      <c r="C59" s="288"/>
      <c r="D59" s="288"/>
      <c r="E59" s="288"/>
      <c r="F59" s="288"/>
      <c r="G59" s="288"/>
      <c r="H59" s="324"/>
      <c r="I59" s="3"/>
      <c r="J59" s="3"/>
      <c r="K59" s="540">
        <f>J59*I59*H59</f>
        <v>0</v>
      </c>
      <c r="L59" s="537">
        <f>'Set-up and other costs'!$B$18*K59</f>
        <v>0</v>
      </c>
      <c r="M59" s="5"/>
      <c r="N59" s="5"/>
      <c r="O59" t="str">
        <f>'Look Up'!$A$19&amp;CRF!B59</f>
        <v>CRF</v>
      </c>
    </row>
    <row r="60" spans="1:15" ht="13">
      <c r="A60" s="278"/>
      <c r="B60" s="8"/>
      <c r="C60" s="288"/>
      <c r="D60" s="288"/>
      <c r="E60" s="288"/>
      <c r="F60" s="288"/>
      <c r="G60" s="288"/>
      <c r="H60" s="324"/>
      <c r="I60" s="3"/>
      <c r="J60" s="3"/>
      <c r="K60" s="540">
        <f>J60*I60*H60</f>
        <v>0</v>
      </c>
      <c r="L60" s="537">
        <f>'Set-up and other costs'!$B$18*K60</f>
        <v>0</v>
      </c>
      <c r="M60" s="5"/>
      <c r="N60" s="5"/>
      <c r="O60" t="str">
        <f>'Look Up'!$A$19&amp;CRF!B60</f>
        <v>CRF</v>
      </c>
    </row>
    <row r="61" spans="1:15" ht="13">
      <c r="A61" s="278"/>
      <c r="B61" s="8"/>
      <c r="C61" s="288"/>
      <c r="D61" s="288"/>
      <c r="E61" s="288"/>
      <c r="F61" s="288"/>
      <c r="G61" s="288"/>
      <c r="H61" s="324"/>
      <c r="I61" s="3"/>
      <c r="J61" s="3"/>
      <c r="K61" s="540">
        <f>J61*I61*H61</f>
        <v>0</v>
      </c>
      <c r="L61" s="537">
        <f>'Set-up and other costs'!$B$18*K61</f>
        <v>0</v>
      </c>
      <c r="M61" s="5"/>
      <c r="N61" s="5"/>
      <c r="O61" t="str">
        <f>'Look Up'!$A$19&amp;CRF!B61</f>
        <v>CRF</v>
      </c>
    </row>
    <row r="62" spans="1:15" ht="13">
      <c r="A62" s="278"/>
      <c r="B62" s="8"/>
      <c r="C62" s="288"/>
      <c r="D62" s="288"/>
      <c r="E62" s="288"/>
      <c r="F62" s="288"/>
      <c r="G62" s="288"/>
      <c r="H62" s="324"/>
      <c r="I62" s="3"/>
      <c r="J62" s="3"/>
      <c r="K62" s="540">
        <f>J62*I62*H62</f>
        <v>0</v>
      </c>
      <c r="L62" s="537">
        <f>'Set-up and other costs'!$B$18*K62</f>
        <v>0</v>
      </c>
      <c r="M62" s="5"/>
      <c r="N62" s="5"/>
      <c r="O62" t="str">
        <f>'Look Up'!$A$19&amp;CRF!B62</f>
        <v>CRF</v>
      </c>
    </row>
    <row r="63" spans="1:15" ht="13">
      <c r="A63" s="5"/>
      <c r="B63" s="5" t="s">
        <v>50</v>
      </c>
      <c r="C63" s="5"/>
      <c r="D63" s="5"/>
      <c r="E63" s="5"/>
      <c r="F63" s="5"/>
      <c r="G63" s="5"/>
      <c r="H63" s="5"/>
      <c r="I63" s="5"/>
      <c r="J63" s="5"/>
      <c r="K63" s="538"/>
      <c r="L63" s="542">
        <f>SUM(L50:L62)</f>
        <v>0</v>
      </c>
      <c r="M63" s="5"/>
      <c r="N63" s="5"/>
      <c r="O63" s="5"/>
    </row>
    <row r="64" spans="1:6" ht="13">
      <c r="A64" s="5"/>
      <c r="B64" s="5"/>
      <c r="C64" s="5"/>
      <c r="D64" s="5"/>
      <c r="E64" s="5"/>
      <c r="F64" s="5"/>
    </row>
  </sheetData>
  <sheetProtection algorithmName="SHA-512" hashValue="JN23l+o5BJjfFyBTvQHLtcnZvfiacRTfjryO2vSdxEu5zrHCjUiU/nkaKV6pz0+66goQKW0dmezDblMVjSgkgw==" saltValue="QC3bCwXhFwGNksVk6+0Ghg==" spinCount="100000" sheet="1" objects="1" scenarios="1"/>
  <dataValidations count="5">
    <dataValidation type="list" allowBlank="1" showInputMessage="1" showErrorMessage="1" sqref="B50:B62 B32:B45 B4:B26">
      <formula1>AcCord</formula1>
    </dataValidation>
    <dataValidation type="list" allowBlank="1" showInputMessage="1" showErrorMessage="1" sqref="B50:B62 B32:B45">
      <formula1>'Look Up'!A35:A39</formula1>
    </dataValidation>
    <dataValidation type="list" allowBlank="1" showInputMessage="1" showErrorMessage="1" sqref="B4:B26">
      <formula1>'Look Up'!A5:A9</formula1>
    </dataValidation>
    <dataValidation type="list" allowBlank="1" showInputMessage="1" showErrorMessage="1" sqref="C50:G62">
      <formula1>'Look Up'!A23:A27</formula1>
    </dataValidation>
    <dataValidation type="list" allowBlank="1" showInputMessage="1" showErrorMessage="1" sqref="C32:G45">
      <formula1>'Look Up'!A5:A7</formula1>
    </dataValidation>
  </dataValidations>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33"/>
  <sheetViews>
    <sheetView zoomScale="60" view="normal" workbookViewId="0">
      <selection pane="topLeft" activeCell="T17" sqref="T17"/>
    </sheetView>
  </sheetViews>
  <sheetFormatPr defaultColWidth="9.1796875" defaultRowHeight="14.5"/>
  <cols>
    <col min="1" max="3" width="43.140625" customWidth="1"/>
    <col min="4" max="4" width="18.140625" customWidth="1"/>
    <col min="5" max="5" width="11.140625" customWidth="1"/>
    <col min="6" max="6" width="9.41796875" customWidth="1"/>
    <col min="7" max="7" width="18.140625" hidden="1" customWidth="1"/>
    <col min="8" max="8" width="10.41796875" hidden="1" customWidth="1"/>
    <col min="9" max="9" width="10.84765625" hidden="1" customWidth="1"/>
    <col min="10" max="10" width="14.27734375" customWidth="1"/>
    <col min="11" max="11" width="6.41796875" customWidth="1"/>
    <col min="12" max="12" width="6.41796875" hidden="1" customWidth="1"/>
    <col min="13" max="13" width="7.5703125" hidden="1" customWidth="1"/>
    <col min="14" max="15" width="6.41796875" hidden="1" customWidth="1"/>
    <col min="16" max="16" width="6.41796875" customWidth="1"/>
    <col min="17" max="17" width="7.5703125" customWidth="1"/>
    <col min="18" max="18" width="16.84765625" customWidth="1"/>
    <col min="19" max="19" width="33.41796875" customWidth="1"/>
    <col min="20" max="20" width="9.41796875" customWidth="1"/>
    <col min="21" max="22" width="9.140625" customWidth="1"/>
    <col min="23" max="23" width="9.140625" style="271" customWidth="1"/>
    <col min="24" max="16384" width="9.140625" customWidth="1"/>
  </cols>
  <sheetData>
    <row r="1" spans="1:3">
      <c r="A1" t="s">
        <v>2030</v>
      </c>
      <c r="B1" s="189" t="s">
        <v>2029</v>
      </c>
      <c r="C1" s="295" t="s">
        <v>1877</v>
      </c>
    </row>
    <row r="2" spans="1:23" s="6" customFormat="1" ht="21">
      <c r="A2" s="294" t="s">
        <v>1930</v>
      </c>
      <c r="C2" s="19"/>
      <c r="D2" s="13"/>
      <c r="E2" s="13"/>
      <c r="F2" s="13"/>
      <c r="G2" s="13"/>
      <c r="W2" s="272" t="s">
        <v>1979</v>
      </c>
    </row>
    <row r="3" spans="1:23" s="6" customFormat="1" ht="12.75" customHeight="1">
      <c r="A3" s="16"/>
      <c r="B3" s="16"/>
      <c r="C3" s="16"/>
      <c r="W3" s="272" t="s">
        <v>1980</v>
      </c>
    </row>
    <row r="4" spans="1:23" s="6" customFormat="1" ht="26">
      <c r="A4" s="9" t="s">
        <v>2028</v>
      </c>
      <c r="B4" s="9" t="s">
        <v>2026</v>
      </c>
      <c r="C4" s="9" t="s">
        <v>2058</v>
      </c>
      <c r="D4" s="17" t="s">
        <v>21</v>
      </c>
      <c r="E4" s="9" t="s">
        <v>54</v>
      </c>
      <c r="F4" s="9" t="s">
        <v>55</v>
      </c>
      <c r="G4" s="9" t="s">
        <v>3</v>
      </c>
      <c r="H4" s="432" t="s">
        <v>5</v>
      </c>
      <c r="I4" s="428" t="s">
        <v>2249</v>
      </c>
      <c r="J4" s="428" t="s">
        <v>2250</v>
      </c>
      <c r="R4" s="1002" t="s">
        <v>2465</v>
      </c>
      <c r="S4" s="1003"/>
      <c r="W4" s="272"/>
    </row>
    <row r="5" spans="1:23" s="6" customFormat="1" ht="16.5" customHeight="1">
      <c r="A5" s="487"/>
      <c r="B5" s="270"/>
      <c r="C5" s="8"/>
      <c r="D5" s="488"/>
      <c r="E5" s="277"/>
      <c r="F5" s="277"/>
      <c r="G5" s="2">
        <f>(E5*F5)*D5</f>
        <v>0</v>
      </c>
      <c r="H5" s="532">
        <v>0</v>
      </c>
      <c r="I5" s="2">
        <f>G5+H5</f>
        <v>0</v>
      </c>
      <c r="J5" s="2">
        <f>'Set-up and other costs'!$B$18*I5</f>
        <v>0</v>
      </c>
      <c r="M5" s="6" t="str">
        <f>'Look Up'!$A$16&amp;Pathology!C5</f>
        <v>Pathology</v>
      </c>
      <c r="R5" s="1002" t="s">
        <v>2466</v>
      </c>
      <c r="S5" s="1003"/>
      <c r="W5" s="272"/>
    </row>
    <row r="6" spans="1:23" s="6" customFormat="1" ht="16.5" customHeight="1">
      <c r="A6" s="487"/>
      <c r="B6" s="270"/>
      <c r="C6" s="8"/>
      <c r="D6" s="488"/>
      <c r="E6" s="277"/>
      <c r="F6" s="277"/>
      <c r="G6" s="2">
        <f>(E6*F6)*D6</f>
        <v>0</v>
      </c>
      <c r="H6" s="532">
        <v>0</v>
      </c>
      <c r="I6" s="2">
        <f>G6+H6</f>
        <v>0</v>
      </c>
      <c r="J6" s="2">
        <f>'Set-up and other costs'!$B$18*I6</f>
        <v>0</v>
      </c>
      <c r="M6" s="6" t="str">
        <f>'Look Up'!$A$16&amp;Pathology!C6</f>
        <v>Pathology</v>
      </c>
      <c r="R6" s="1002" t="s">
        <v>1999</v>
      </c>
      <c r="S6" s="1003"/>
      <c r="W6" s="272"/>
    </row>
    <row r="7" spans="1:23" s="6" customFormat="1" ht="16.5" customHeight="1">
      <c r="A7" s="487"/>
      <c r="B7" s="270"/>
      <c r="C7" s="8"/>
      <c r="D7" s="488"/>
      <c r="E7" s="277"/>
      <c r="F7" s="277"/>
      <c r="G7" s="2">
        <f>(E7*F7)*D7</f>
        <v>0</v>
      </c>
      <c r="H7" s="532">
        <v>0</v>
      </c>
      <c r="I7" s="2">
        <f>G7+H7</f>
        <v>0</v>
      </c>
      <c r="J7" s="2">
        <f>'Set-up and other costs'!$B$18*I7</f>
        <v>0</v>
      </c>
      <c r="M7" s="6" t="str">
        <f>'Look Up'!$A$16&amp;Pathology!C7</f>
        <v>Pathology</v>
      </c>
      <c r="W7" s="272"/>
    </row>
    <row r="8" spans="1:23" s="6" customFormat="1" ht="16.5" customHeight="1">
      <c r="A8" s="487"/>
      <c r="B8" s="270"/>
      <c r="C8" s="8"/>
      <c r="D8" s="488"/>
      <c r="E8" s="277"/>
      <c r="F8" s="277"/>
      <c r="G8" s="2">
        <f>(E8*F8)*D8</f>
        <v>0</v>
      </c>
      <c r="H8" s="532">
        <v>0</v>
      </c>
      <c r="I8" s="2">
        <f>G8+H8</f>
        <v>0</v>
      </c>
      <c r="J8" s="2">
        <f>'Set-up and other costs'!$B$18*I8</f>
        <v>0</v>
      </c>
      <c r="M8" s="6" t="str">
        <f>'Look Up'!$A$16&amp;Pathology!C8</f>
        <v>Pathology</v>
      </c>
      <c r="W8" s="272"/>
    </row>
    <row r="9" spans="1:23" s="6" customFormat="1" ht="16.5" customHeight="1">
      <c r="A9" s="487"/>
      <c r="B9" s="270"/>
      <c r="C9" s="8"/>
      <c r="D9" s="488"/>
      <c r="E9" s="277"/>
      <c r="F9" s="277"/>
      <c r="G9" s="2">
        <f>(E9*F9)*D9</f>
        <v>0</v>
      </c>
      <c r="H9" s="532">
        <v>0</v>
      </c>
      <c r="I9" s="2">
        <f>G9+H9</f>
        <v>0</v>
      </c>
      <c r="J9" s="2">
        <f>'Set-up and other costs'!$B$18*I9</f>
        <v>0</v>
      </c>
      <c r="M9" s="6" t="str">
        <f>'Look Up'!$A$16&amp;Pathology!C9</f>
        <v>Pathology</v>
      </c>
      <c r="W9" s="272"/>
    </row>
    <row r="10" spans="1:23" s="6" customFormat="1" ht="16.5" customHeight="1">
      <c r="A10" s="487"/>
      <c r="B10" s="270"/>
      <c r="C10" s="8"/>
      <c r="D10" s="488"/>
      <c r="E10" s="277"/>
      <c r="F10" s="277"/>
      <c r="G10" s="2">
        <f>(E10*F10)*D10</f>
        <v>0</v>
      </c>
      <c r="H10" s="532">
        <v>0</v>
      </c>
      <c r="I10" s="2">
        <f>G10+H10</f>
        <v>0</v>
      </c>
      <c r="J10" s="2">
        <f>'Set-up and other costs'!$B$18*I10</f>
        <v>0</v>
      </c>
      <c r="M10" s="6" t="str">
        <f>'Look Up'!$A$16&amp;Pathology!C10</f>
        <v>Pathology</v>
      </c>
      <c r="W10" s="272"/>
    </row>
    <row r="11" spans="1:23" s="6" customFormat="1" ht="16.5" customHeight="1">
      <c r="A11" s="487"/>
      <c r="B11" s="270"/>
      <c r="C11" s="8"/>
      <c r="D11" s="488"/>
      <c r="E11" s="277"/>
      <c r="F11" s="277"/>
      <c r="G11" s="2">
        <f>(E11*F11)*D11</f>
        <v>0</v>
      </c>
      <c r="H11" s="532">
        <v>0</v>
      </c>
      <c r="I11" s="2">
        <f>G11+H11</f>
        <v>0</v>
      </c>
      <c r="J11" s="2">
        <f>'Set-up and other costs'!$B$18*I11</f>
        <v>0</v>
      </c>
      <c r="M11" s="6" t="str">
        <f>'Look Up'!$A$16&amp;Pathology!C11</f>
        <v>Pathology</v>
      </c>
      <c r="W11" s="272"/>
    </row>
    <row r="12" spans="1:23" s="6" customFormat="1" ht="16.5" customHeight="1">
      <c r="A12" s="487"/>
      <c r="B12" s="270"/>
      <c r="C12" s="8"/>
      <c r="D12" s="488"/>
      <c r="E12" s="277"/>
      <c r="F12" s="277"/>
      <c r="G12" s="2">
        <f>(E12*F12)*D12</f>
        <v>0</v>
      </c>
      <c r="H12" s="532">
        <v>0</v>
      </c>
      <c r="I12" s="2">
        <f>G12+H12</f>
        <v>0</v>
      </c>
      <c r="J12" s="2">
        <f>'Set-up and other costs'!$B$18*I12</f>
        <v>0</v>
      </c>
      <c r="M12" s="6" t="str">
        <f>'Look Up'!$A$16&amp;Pathology!C12</f>
        <v>Pathology</v>
      </c>
      <c r="W12" s="272"/>
    </row>
    <row r="13" spans="1:23" s="6" customFormat="1" ht="16.5" customHeight="1">
      <c r="A13" s="487"/>
      <c r="B13" s="270"/>
      <c r="C13" s="8"/>
      <c r="D13" s="488"/>
      <c r="E13" s="277"/>
      <c r="F13" s="277"/>
      <c r="G13" s="2">
        <f>(E13*F13)*D13</f>
        <v>0</v>
      </c>
      <c r="H13" s="532">
        <v>0</v>
      </c>
      <c r="I13" s="2">
        <f>G13+H13</f>
        <v>0</v>
      </c>
      <c r="J13" s="2">
        <f>'Set-up and other costs'!$B$18*I13</f>
        <v>0</v>
      </c>
      <c r="M13" s="6" t="str">
        <f>'Look Up'!$A$16&amp;Pathology!C13</f>
        <v>Pathology</v>
      </c>
      <c r="W13" s="272"/>
    </row>
    <row r="14" spans="1:23" s="6" customFormat="1" ht="16.5" customHeight="1">
      <c r="A14" s="487"/>
      <c r="B14" s="270"/>
      <c r="C14" s="8"/>
      <c r="D14" s="488"/>
      <c r="E14" s="277"/>
      <c r="F14" s="277"/>
      <c r="G14" s="2">
        <f>(E14*F14)*D14</f>
        <v>0</v>
      </c>
      <c r="H14" s="532">
        <v>0</v>
      </c>
      <c r="I14" s="2">
        <f>G14+H14</f>
        <v>0</v>
      </c>
      <c r="J14" s="2">
        <f>'Set-up and other costs'!$B$18*I14</f>
        <v>0</v>
      </c>
      <c r="M14" s="6" t="str">
        <f>'Look Up'!$A$16&amp;Pathology!C14</f>
        <v>Pathology</v>
      </c>
      <c r="W14" s="272"/>
    </row>
    <row r="15" spans="1:23" s="6" customFormat="1" ht="16.5" customHeight="1">
      <c r="A15" s="487"/>
      <c r="B15" s="270"/>
      <c r="C15" s="8"/>
      <c r="D15" s="488"/>
      <c r="E15" s="277"/>
      <c r="F15" s="277"/>
      <c r="G15" s="2">
        <f>(E15*F15)*D15</f>
        <v>0</v>
      </c>
      <c r="H15" s="532">
        <v>0</v>
      </c>
      <c r="I15" s="2">
        <f>G15+H15</f>
        <v>0</v>
      </c>
      <c r="J15" s="2">
        <f>'Set-up and other costs'!$B$18*I15</f>
        <v>0</v>
      </c>
      <c r="K15" s="12"/>
      <c r="L15" s="12"/>
      <c r="M15" s="6" t="str">
        <f>'Look Up'!$A$16&amp;Pathology!C15</f>
        <v>Pathology</v>
      </c>
      <c r="N15" s="12"/>
      <c r="O15" s="12"/>
      <c r="P15" s="12"/>
      <c r="Q15" s="12"/>
      <c r="R15" s="37"/>
      <c r="S15" s="37"/>
      <c r="T15" s="37"/>
      <c r="U15" s="15"/>
      <c r="W15" s="272"/>
    </row>
    <row r="16" spans="1:23" s="6" customFormat="1" ht="16.5" customHeight="1">
      <c r="A16" s="487"/>
      <c r="B16" s="270"/>
      <c r="C16" s="8"/>
      <c r="D16" s="488"/>
      <c r="E16" s="277"/>
      <c r="F16" s="277"/>
      <c r="G16" s="2">
        <v>0</v>
      </c>
      <c r="H16" s="532">
        <v>0</v>
      </c>
      <c r="I16" s="2">
        <f>G16+H16</f>
        <v>0</v>
      </c>
      <c r="J16" s="2">
        <f>'Set-up and other costs'!$B$18*I16</f>
        <v>0</v>
      </c>
      <c r="K16" s="12"/>
      <c r="L16" s="12"/>
      <c r="M16" s="6" t="str">
        <f>'Look Up'!$A$16&amp;Pathology!C16</f>
        <v>Pathology</v>
      </c>
      <c r="N16" s="12"/>
      <c r="O16" s="12"/>
      <c r="P16" s="12"/>
      <c r="Q16" s="12"/>
      <c r="R16" s="12"/>
      <c r="S16" s="37"/>
      <c r="T16" s="37"/>
      <c r="U16" s="37"/>
      <c r="W16" s="272"/>
    </row>
    <row r="17" spans="5:23" s="6" customFormat="1" ht="13">
      <c r="E17" s="49">
        <f>SUM(E5:E16)</f>
        <v>0</v>
      </c>
      <c r="F17" s="49">
        <f>SUM(F5:F16)</f>
        <v>0</v>
      </c>
      <c r="G17" s="291">
        <f>SUM(G5:G16)</f>
        <v>0</v>
      </c>
      <c r="H17" s="533">
        <f>SUM(H5:H16)</f>
        <v>0</v>
      </c>
      <c r="I17" s="2">
        <f>SUM(I5:I16)</f>
        <v>0</v>
      </c>
      <c r="J17" s="2">
        <f>'Set-up and other costs'!$B$18*I17</f>
        <v>0</v>
      </c>
      <c r="L17" s="12"/>
      <c r="W17" s="272"/>
    </row>
    <row r="18" spans="8:23" s="6" customFormat="1" ht="13">
      <c r="H18" s="36"/>
      <c r="I18" s="36"/>
      <c r="J18" s="36"/>
      <c r="K18" s="36"/>
      <c r="L18" s="12"/>
      <c r="M18" s="36"/>
      <c r="N18" s="36"/>
      <c r="O18" s="36"/>
      <c r="P18" s="36"/>
      <c r="Q18" s="36"/>
      <c r="R18" s="36"/>
      <c r="S18" s="36"/>
      <c r="T18" s="36"/>
      <c r="U18" s="37"/>
      <c r="V18" s="37"/>
      <c r="W18" s="273"/>
    </row>
    <row r="19" spans="1:23" s="5" customFormat="1" ht="15.5">
      <c r="A19" s="21" t="s">
        <v>31</v>
      </c>
      <c r="B19" s="21"/>
      <c r="C19" s="21"/>
      <c r="L19" s="36"/>
      <c r="W19" s="274"/>
    </row>
    <row r="21" spans="1:23" s="5" customFormat="1" ht="52">
      <c r="A21" s="9" t="s">
        <v>2027</v>
      </c>
      <c r="B21" s="9" t="s">
        <v>2026</v>
      </c>
      <c r="C21" s="9" t="s">
        <v>2058</v>
      </c>
      <c r="D21" s="9" t="s">
        <v>25</v>
      </c>
      <c r="E21" s="9" t="s">
        <v>27</v>
      </c>
      <c r="F21" s="9" t="s">
        <v>28</v>
      </c>
      <c r="G21" s="428" t="s">
        <v>2249</v>
      </c>
      <c r="J21" s="428" t="s">
        <v>2250</v>
      </c>
      <c r="W21" s="274"/>
    </row>
    <row r="22" spans="1:23" s="5" customFormat="1" ht="13">
      <c r="A22" s="310"/>
      <c r="B22" s="270"/>
      <c r="C22" s="8"/>
      <c r="D22" s="308"/>
      <c r="E22" s="3"/>
      <c r="F22" s="481"/>
      <c r="G22" s="540">
        <f>F22*E22*D22</f>
        <v>0</v>
      </c>
      <c r="J22" s="2">
        <f>'Set-up and other costs'!$B$18*G22</f>
        <v>0</v>
      </c>
      <c r="L22"/>
      <c r="M22" s="6" t="str">
        <f>'Look Up'!$A$16&amp;Pathology!C22</f>
        <v>Pathology</v>
      </c>
      <c r="W22" s="274"/>
    </row>
    <row r="23" spans="1:23" s="5" customFormat="1" ht="13">
      <c r="A23" s="310"/>
      <c r="B23" s="270"/>
      <c r="C23" s="8"/>
      <c r="D23" s="308"/>
      <c r="E23" s="3"/>
      <c r="F23" s="481"/>
      <c r="G23" s="540">
        <f>F23*E23*D23</f>
        <v>0</v>
      </c>
      <c r="J23" s="2">
        <f>'Set-up and other costs'!$B$18*G23</f>
        <v>0</v>
      </c>
      <c r="M23" s="6" t="str">
        <f>'Look Up'!$A$16&amp;Pathology!C23</f>
        <v>Pathology</v>
      </c>
      <c r="W23" s="274"/>
    </row>
    <row r="24" spans="1:23" s="5" customFormat="1" ht="13">
      <c r="A24" s="310"/>
      <c r="B24" s="270"/>
      <c r="C24" s="8"/>
      <c r="D24" s="308"/>
      <c r="E24" s="3"/>
      <c r="F24" s="481"/>
      <c r="G24" s="540">
        <f>F24*E24*D24</f>
        <v>0</v>
      </c>
      <c r="J24" s="2">
        <f>'Set-up and other costs'!$B$18*G24</f>
        <v>0</v>
      </c>
      <c r="M24" s="6" t="str">
        <f>'Look Up'!$A$16&amp;Pathology!C24</f>
        <v>Pathology</v>
      </c>
      <c r="W24" s="274"/>
    </row>
    <row r="25" spans="1:23" s="5" customFormat="1" ht="13">
      <c r="A25" s="310"/>
      <c r="B25" s="270"/>
      <c r="C25" s="8"/>
      <c r="D25" s="308"/>
      <c r="E25" s="3"/>
      <c r="F25" s="481"/>
      <c r="G25" s="540">
        <f>F25*E25*D25</f>
        <v>0</v>
      </c>
      <c r="J25" s="2">
        <f>'Set-up and other costs'!$B$18*G25</f>
        <v>0</v>
      </c>
      <c r="M25" s="6" t="str">
        <f>'Look Up'!$A$16&amp;Pathology!C25</f>
        <v>Pathology</v>
      </c>
      <c r="W25" s="274"/>
    </row>
    <row r="26" spans="1:23" s="5" customFormat="1" ht="13">
      <c r="A26" s="310"/>
      <c r="B26" s="270"/>
      <c r="C26" s="8"/>
      <c r="D26" s="308"/>
      <c r="E26" s="3"/>
      <c r="F26" s="481"/>
      <c r="G26" s="540">
        <f>F26*E26*D26</f>
        <v>0</v>
      </c>
      <c r="J26" s="2">
        <f>'Set-up and other costs'!$B$18*G26</f>
        <v>0</v>
      </c>
      <c r="M26" s="6" t="str">
        <f>'Look Up'!$A$16&amp;Pathology!C26</f>
        <v>Pathology</v>
      </c>
      <c r="W26" s="274"/>
    </row>
    <row r="27" spans="1:23" s="5" customFormat="1" ht="13">
      <c r="A27" s="278"/>
      <c r="B27" s="270"/>
      <c r="C27" s="8"/>
      <c r="D27" s="290"/>
      <c r="E27" s="3"/>
      <c r="F27" s="481"/>
      <c r="G27" s="540">
        <f>F27*E27*D27</f>
        <v>0</v>
      </c>
      <c r="J27" s="2">
        <f>'Set-up and other costs'!$B$18*G27</f>
        <v>0</v>
      </c>
      <c r="M27" s="6" t="str">
        <f>'Look Up'!$A$16&amp;Pathology!C27</f>
        <v>Pathology</v>
      </c>
      <c r="W27" s="274"/>
    </row>
    <row r="28" spans="1:23" s="5" customFormat="1" ht="13">
      <c r="A28" s="278"/>
      <c r="B28" s="270"/>
      <c r="C28" s="8"/>
      <c r="D28" s="290"/>
      <c r="E28" s="3"/>
      <c r="F28" s="481"/>
      <c r="G28" s="540">
        <f>F28*E28*D28</f>
        <v>0</v>
      </c>
      <c r="J28" s="2">
        <f>'Set-up and other costs'!$B$18*G28</f>
        <v>0</v>
      </c>
      <c r="M28" s="6" t="str">
        <f>'Look Up'!$A$16&amp;Pathology!C28</f>
        <v>Pathology</v>
      </c>
      <c r="W28" s="274"/>
    </row>
    <row r="29" spans="1:23" s="5" customFormat="1" ht="13">
      <c r="A29" s="278"/>
      <c r="B29" s="270"/>
      <c r="C29" s="8"/>
      <c r="D29" s="290"/>
      <c r="E29" s="3"/>
      <c r="F29" s="481"/>
      <c r="G29" s="540">
        <f>F29*E29*D29</f>
        <v>0</v>
      </c>
      <c r="J29" s="2">
        <f>'Set-up and other costs'!$B$18*G29</f>
        <v>0</v>
      </c>
      <c r="L29"/>
      <c r="M29" s="6" t="str">
        <f>'Look Up'!$A$16&amp;Pathology!C29</f>
        <v>Pathology</v>
      </c>
      <c r="W29" s="274"/>
    </row>
    <row r="30" spans="1:23" s="5" customFormat="1" ht="13">
      <c r="A30" s="278"/>
      <c r="B30" s="270"/>
      <c r="C30" s="8"/>
      <c r="D30" s="290"/>
      <c r="E30" s="3"/>
      <c r="F30" s="481"/>
      <c r="G30" s="540">
        <f>F30*E30*D30</f>
        <v>0</v>
      </c>
      <c r="J30" s="2">
        <f>'Set-up and other costs'!$B$18*G30</f>
        <v>0</v>
      </c>
      <c r="M30" s="6" t="str">
        <f>'Look Up'!$A$16&amp;Pathology!C30</f>
        <v>Pathology</v>
      </c>
      <c r="W30" s="274"/>
    </row>
    <row r="31" spans="1:23" s="5" customFormat="1" ht="18.75" customHeight="1">
      <c r="A31" s="23" t="s">
        <v>34</v>
      </c>
      <c r="B31" s="23"/>
      <c r="C31" s="23"/>
      <c r="G31" s="479">
        <f>SUM(G22:G30)</f>
        <v>0</v>
      </c>
      <c r="J31" s="2">
        <f>'Set-up and other costs'!$B$18*G31</f>
        <v>0</v>
      </c>
      <c r="W31" s="274"/>
    </row>
    <row r="32" spans="12:12">
      <c r="L32" s="5"/>
    </row>
    <row r="33" spans="1:23" ht="12.5">
      <c r="A33" t="s">
        <v>50</v>
      </c>
      <c r="G33" s="239"/>
      <c r="W33"/>
    </row>
  </sheetData>
  <sheetProtection algorithmName="SHA-512" hashValue="C8k6C13f9FtXOw9tzHeDt+ID5U34M9iO+kLHJ1XalloCoyLjSGKFZ4AgrPAdU+vQN5JT5WRhbFOkZQdRBWKHgw==" saltValue="0/6Ycbrp0ZqUv1VS5SuErw==" spinCount="100000" sheet="1" objects="1" scenarios="1"/>
  <dataValidations count="6">
    <dataValidation type="list" allowBlank="1" showInputMessage="1" showErrorMessage="1" sqref="B31:B32 B17:B18">
      <formula1>$W$2:$W$3</formula1>
    </dataValidation>
    <dataValidation type="whole" operator="greaterThan" allowBlank="1" showInputMessage="1" showErrorMessage="1" sqref="N16:R16 N15:Q15 E5:F18 K15:L18 G17:H17">
      <formula1>0</formula1>
    </dataValidation>
    <dataValidation type="list" allowBlank="1" showInputMessage="1" sqref="A22:A26">
      <formula1>CostList</formula1>
    </dataValidation>
    <dataValidation type="list" allowBlank="1" showInputMessage="1" showErrorMessage="1" sqref="C5:C16 C22:C30">
      <formula1>AcCord</formula1>
    </dataValidation>
    <dataValidation type="list" allowBlank="1" showInputMessage="1" showErrorMessage="1" sqref="C5:C16">
      <formula1>'Look Up'!A5:A9</formula1>
    </dataValidation>
    <dataValidation type="list" allowBlank="1" showInputMessage="1" showErrorMessage="1" sqref="C22:C30">
      <formula1>'Look Up'!A22:A28</formula1>
    </dataValidation>
  </dataValidations>
  <pageMargins left="0.7" right="0.7" top="0.75" bottom="0.75" header="0.3" footer="0.3"/>
  <pageSetup paperSize="9" orientation="portrait"/>
  <headerFooter scaleWithDoc="1" alignWithMargins="0" differentFirst="0" differentOddEven="0"/>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7"/>
  <dimension ref="A1:W49"/>
  <sheetViews>
    <sheetView zoomScale="60" view="normal" workbookViewId="0">
      <selection pane="topLeft" activeCell="S18" sqref="S18"/>
    </sheetView>
  </sheetViews>
  <sheetFormatPr defaultRowHeight="14.5"/>
  <cols>
    <col min="1" max="1" width="43.140625" customWidth="1"/>
    <col min="2" max="2" width="43.140625" hidden="1" customWidth="1"/>
    <col min="3" max="3" width="30.140625" customWidth="1"/>
    <col min="4" max="4" width="14.7109375" customWidth="1"/>
    <col min="5" max="5" width="11.140625" customWidth="1"/>
    <col min="6" max="6" width="35" customWidth="1"/>
    <col min="7" max="7" width="19.27734375" hidden="1" customWidth="1"/>
    <col min="8" max="8" width="10.41796875" customWidth="1"/>
    <col min="9" max="9" width="10.41796875" hidden="1" customWidth="1"/>
    <col min="10" max="10" width="14.27734375" customWidth="1"/>
    <col min="11" max="11" width="6.41796875" customWidth="1"/>
    <col min="12" max="12" width="6.41796875" hidden="1" customWidth="1"/>
    <col min="13" max="13" width="7.5703125" hidden="1" customWidth="1"/>
    <col min="14" max="16" width="6.41796875" customWidth="1"/>
    <col min="17" max="17" width="7.5703125" customWidth="1"/>
    <col min="18" max="18" width="17" customWidth="1"/>
    <col min="19" max="19" width="37.41796875" customWidth="1"/>
    <col min="20" max="20" width="9.41796875" customWidth="1"/>
    <col min="23" max="23" width="9.140625" style="271" customWidth="1"/>
  </cols>
  <sheetData>
    <row r="1" spans="1:12">
      <c r="A1"/>
      <c r="C1" s="263"/>
      <c r="D1"/>
      <c r="E1"/>
      <c r="F1"/>
      <c r="G1"/>
      <c r="H1"/>
      <c r="J1"/>
      <c r="K1"/>
      <c r="L1"/>
    </row>
    <row r="2" spans="1:23" s="6" customFormat="1" ht="15.5">
      <c r="A2" s="19" t="s">
        <v>33</v>
      </c>
      <c r="B2" s="19"/>
      <c r="C2" s="19"/>
      <c r="D2" s="13"/>
      <c r="E2" s="13"/>
      <c r="F2" s="13"/>
      <c r="G2" s="13"/>
      <c r="W2" s="272" t="s">
        <v>1979</v>
      </c>
    </row>
    <row r="3" spans="1:23" s="6" customFormat="1" ht="12.75" customHeight="1">
      <c r="A3" s="16"/>
      <c r="B3" s="16"/>
      <c r="C3" s="16"/>
      <c r="W3" s="272" t="s">
        <v>1980</v>
      </c>
    </row>
    <row r="4" spans="1:23" s="6" customFormat="1" ht="26">
      <c r="A4" s="9" t="s">
        <v>0</v>
      </c>
      <c r="B4" s="9"/>
      <c r="C4" s="9" t="s">
        <v>2058</v>
      </c>
      <c r="D4" s="17" t="s">
        <v>21</v>
      </c>
      <c r="E4" s="9" t="s">
        <v>54</v>
      </c>
      <c r="F4" s="9" t="s">
        <v>55</v>
      </c>
      <c r="G4" s="9" t="s">
        <v>3</v>
      </c>
      <c r="H4" s="9" t="s">
        <v>5</v>
      </c>
      <c r="I4" s="428" t="s">
        <v>2249</v>
      </c>
      <c r="J4" s="428" t="s">
        <v>2250</v>
      </c>
      <c r="R4" s="1002" t="s">
        <v>2465</v>
      </c>
      <c r="S4" s="1003"/>
      <c r="W4" s="272"/>
    </row>
    <row r="5" spans="1:23" s="6" customFormat="1" ht="16.5" customHeight="1">
      <c r="A5" s="487"/>
      <c r="B5" s="270"/>
      <c r="C5" s="8"/>
      <c r="D5" s="693"/>
      <c r="E5" s="277"/>
      <c r="F5" s="277"/>
      <c r="G5" s="2">
        <f>(E5*F5)*D5</f>
        <v>0</v>
      </c>
      <c r="H5" s="532">
        <f>IF('Study Information &amp; rates'!$B$43="Yes",G5*28.7%,0)</f>
        <v>0</v>
      </c>
      <c r="I5" s="2">
        <f>G5+H5</f>
        <v>0</v>
      </c>
      <c r="J5" s="2">
        <f>IF('Study Information &amp; rates'!B44="No",Pharmacy!I5,'Set-up and other costs'!$B$18*Pharmacy!I5)</f>
        <v>0</v>
      </c>
      <c r="M5" s="6" t="str">
        <f>'Look Up'!$A$11&amp;Pharmacy!C5</f>
        <v>Pharmacy</v>
      </c>
      <c r="R5" s="1002" t="s">
        <v>2466</v>
      </c>
      <c r="S5" s="1003"/>
      <c r="W5" s="272"/>
    </row>
    <row r="6" spans="1:23" s="6" customFormat="1" ht="16.5" customHeight="1">
      <c r="A6" s="487"/>
      <c r="B6" s="270"/>
      <c r="C6" s="8"/>
      <c r="D6" s="693"/>
      <c r="E6" s="277"/>
      <c r="F6" s="277"/>
      <c r="G6" s="2">
        <f>(E6*F6)*D6</f>
        <v>0</v>
      </c>
      <c r="H6" s="532">
        <f>IF('Study Information &amp; rates'!$B$43="Yes",G6*28.7%,0)</f>
        <v>0</v>
      </c>
      <c r="I6" s="2">
        <f>G6+H6</f>
        <v>0</v>
      </c>
      <c r="J6" s="2">
        <f>'Set-up and other costs'!$B$18*Pharmacy!I6</f>
        <v>0</v>
      </c>
      <c r="M6" s="6" t="str">
        <f>'Look Up'!$A$11&amp;Pharmacy!C6</f>
        <v>Pharmacy</v>
      </c>
      <c r="R6" s="1002" t="s">
        <v>1999</v>
      </c>
      <c r="S6" s="1003"/>
      <c r="W6" s="272"/>
    </row>
    <row r="7" spans="1:23" s="6" customFormat="1" ht="16.5" customHeight="1">
      <c r="A7" s="487"/>
      <c r="B7" s="270"/>
      <c r="C7" s="8"/>
      <c r="D7" s="693"/>
      <c r="E7" s="277"/>
      <c r="F7" s="277"/>
      <c r="G7" s="2">
        <f>(E7*F7)*D7</f>
        <v>0</v>
      </c>
      <c r="H7" s="532">
        <f>IF('Study Information &amp; rates'!$B$43="Yes",G7*28.7%,0)</f>
        <v>0</v>
      </c>
      <c r="I7" s="2">
        <f>G7+H7</f>
        <v>0</v>
      </c>
      <c r="J7" s="2">
        <f>'Set-up and other costs'!$B$18*Pharmacy!I7</f>
        <v>0</v>
      </c>
      <c r="M7" s="6" t="str">
        <f>'Look Up'!$A$11&amp;Pharmacy!C7</f>
        <v>Pharmacy</v>
      </c>
      <c r="W7" s="272"/>
    </row>
    <row r="8" spans="1:23" s="6" customFormat="1" ht="16.5" customHeight="1">
      <c r="A8" s="487"/>
      <c r="B8" s="270"/>
      <c r="C8" s="8"/>
      <c r="D8" s="693"/>
      <c r="E8" s="277"/>
      <c r="F8" s="277"/>
      <c r="G8" s="2">
        <f>(E8*F8)*D8</f>
        <v>0</v>
      </c>
      <c r="H8" s="532">
        <f>IF('Study Information &amp; rates'!$B$43="Yes",G8*28.7%,0)</f>
        <v>0</v>
      </c>
      <c r="I8" s="2">
        <f>G8+H8</f>
        <v>0</v>
      </c>
      <c r="J8" s="2">
        <f>'Set-up and other costs'!$B$18*Pharmacy!I8</f>
        <v>0</v>
      </c>
      <c r="M8" s="6" t="str">
        <f>'Look Up'!$A$11&amp;Pharmacy!C8</f>
        <v>Pharmacy</v>
      </c>
      <c r="W8" s="272"/>
    </row>
    <row r="9" spans="1:23" s="6" customFormat="1" ht="16.5" customHeight="1">
      <c r="A9" s="487"/>
      <c r="B9" s="270"/>
      <c r="C9" s="8"/>
      <c r="D9" s="693"/>
      <c r="E9" s="277"/>
      <c r="F9" s="277"/>
      <c r="G9" s="2">
        <f>(E9*F9)*D9</f>
        <v>0</v>
      </c>
      <c r="H9" s="532">
        <f>IF('Study Information &amp; rates'!$B$43="Yes",G9*28.7%,0)</f>
        <v>0</v>
      </c>
      <c r="I9" s="2">
        <f>G9+H9</f>
        <v>0</v>
      </c>
      <c r="J9" s="2">
        <f>'Set-up and other costs'!$B$18*Pharmacy!I9</f>
        <v>0</v>
      </c>
      <c r="M9" s="6" t="str">
        <f>'Look Up'!$A$11&amp;Pharmacy!C9</f>
        <v>Pharmacy</v>
      </c>
      <c r="W9" s="272"/>
    </row>
    <row r="10" spans="1:23" s="6" customFormat="1" ht="16.5" customHeight="1">
      <c r="A10" s="487"/>
      <c r="B10" s="270"/>
      <c r="C10" s="8"/>
      <c r="D10" s="693"/>
      <c r="E10" s="277"/>
      <c r="F10" s="277"/>
      <c r="G10" s="2">
        <f>(E10*F10)*D10</f>
        <v>0</v>
      </c>
      <c r="H10" s="532">
        <f>IF('Study Information &amp; rates'!$B$43="Yes",G10*28.7%,0)</f>
        <v>0</v>
      </c>
      <c r="I10" s="2">
        <f>G10+H10</f>
        <v>0</v>
      </c>
      <c r="J10" s="2">
        <f>'Set-up and other costs'!$B$18*Pharmacy!I10</f>
        <v>0</v>
      </c>
      <c r="M10" s="6" t="str">
        <f>'Look Up'!$A$11&amp;Pharmacy!C10</f>
        <v>Pharmacy</v>
      </c>
      <c r="W10" s="272"/>
    </row>
    <row r="11" spans="1:23" s="6" customFormat="1" ht="16.5" customHeight="1">
      <c r="A11" s="487"/>
      <c r="B11" s="270"/>
      <c r="C11" s="8"/>
      <c r="D11" s="693"/>
      <c r="E11" s="277"/>
      <c r="F11" s="277"/>
      <c r="G11" s="2">
        <f>(E11*F11)*D11</f>
        <v>0</v>
      </c>
      <c r="H11" s="532">
        <f>IF('Study Information &amp; rates'!$B$43="Yes",G11*28.7%,0)</f>
        <v>0</v>
      </c>
      <c r="I11" s="2">
        <f>G11+H11</f>
        <v>0</v>
      </c>
      <c r="J11" s="2">
        <f>'Set-up and other costs'!$B$18*Pharmacy!I11</f>
        <v>0</v>
      </c>
      <c r="M11" s="6" t="str">
        <f>'Look Up'!$A$11&amp;Pharmacy!C11</f>
        <v>Pharmacy</v>
      </c>
      <c r="W11" s="272"/>
    </row>
    <row r="12" spans="1:23" s="6" customFormat="1" ht="16.5" customHeight="1">
      <c r="A12" s="487"/>
      <c r="B12" s="270"/>
      <c r="C12" s="8"/>
      <c r="D12" s="693"/>
      <c r="E12" s="277"/>
      <c r="F12" s="277"/>
      <c r="G12" s="2">
        <f>(E12*F12)*D12</f>
        <v>0</v>
      </c>
      <c r="H12" s="532">
        <f>IF('Study Information &amp; rates'!$B$43="Yes",G12*28.7%,0)</f>
        <v>0</v>
      </c>
      <c r="I12" s="2">
        <f>G12+H12</f>
        <v>0</v>
      </c>
      <c r="J12" s="2">
        <f>'Set-up and other costs'!$B$18*Pharmacy!I12</f>
        <v>0</v>
      </c>
      <c r="M12" s="6" t="str">
        <f>'Look Up'!$A$11&amp;Pharmacy!C12</f>
        <v>Pharmacy</v>
      </c>
      <c r="W12" s="272"/>
    </row>
    <row r="13" spans="1:23" s="6" customFormat="1" ht="16.5" customHeight="1">
      <c r="A13" s="487"/>
      <c r="B13" s="270"/>
      <c r="C13" s="8"/>
      <c r="D13" s="693"/>
      <c r="E13" s="277"/>
      <c r="F13" s="277"/>
      <c r="G13" s="2">
        <f>(E13*F13)*D13</f>
        <v>0</v>
      </c>
      <c r="H13" s="532">
        <f>IF('Study Information &amp; rates'!$B$43="Yes",G13*28.7%,0)</f>
        <v>0</v>
      </c>
      <c r="I13" s="2">
        <f>G13+H13</f>
        <v>0</v>
      </c>
      <c r="J13" s="2">
        <f>'Set-up and other costs'!$B$18*Pharmacy!I13</f>
        <v>0</v>
      </c>
      <c r="M13" s="6" t="str">
        <f>'Look Up'!$A$11&amp;Pharmacy!C13</f>
        <v>Pharmacy</v>
      </c>
      <c r="W13" s="272"/>
    </row>
    <row r="14" spans="1:23" s="6" customFormat="1" ht="16.5" customHeight="1">
      <c r="A14" s="487"/>
      <c r="B14" s="270"/>
      <c r="C14" s="8"/>
      <c r="D14" s="693"/>
      <c r="E14" s="277"/>
      <c r="F14" s="277"/>
      <c r="G14" s="2">
        <f>(E14*F14)*D14</f>
        <v>0</v>
      </c>
      <c r="H14" s="532">
        <f>IF('Study Information &amp; rates'!$B$43="Yes",G14*28.7%,0)</f>
        <v>0</v>
      </c>
      <c r="I14" s="2">
        <f>G14+H14</f>
        <v>0</v>
      </c>
      <c r="J14" s="2">
        <f>'Set-up and other costs'!$B$18*Pharmacy!I14</f>
        <v>0</v>
      </c>
      <c r="M14" s="6" t="str">
        <f>'Look Up'!$A$11&amp;Pharmacy!C14</f>
        <v>Pharmacy</v>
      </c>
      <c r="W14" s="272"/>
    </row>
    <row r="15" spans="1:23" s="6" customFormat="1" ht="16.5" customHeight="1">
      <c r="A15" s="487"/>
      <c r="B15" s="270"/>
      <c r="C15" s="8"/>
      <c r="D15" s="693"/>
      <c r="E15" s="277"/>
      <c r="F15" s="277"/>
      <c r="G15" s="2">
        <f>(E15*F15)*D15</f>
        <v>0</v>
      </c>
      <c r="H15" s="532">
        <f>IF('Study Information &amp; rates'!$B$43="Yes",G15*28.7%,0)</f>
        <v>0</v>
      </c>
      <c r="I15" s="2">
        <f>G15+H15</f>
        <v>0</v>
      </c>
      <c r="J15" s="2">
        <f>'Set-up and other costs'!$B$18*Pharmacy!I15</f>
        <v>0</v>
      </c>
      <c r="K15" s="12"/>
      <c r="L15" s="12"/>
      <c r="M15" s="6" t="str">
        <f>'Look Up'!$A$11&amp;Pharmacy!C15</f>
        <v>Pharmacy</v>
      </c>
      <c r="N15" s="12"/>
      <c r="O15" s="12"/>
      <c r="P15" s="12"/>
      <c r="Q15" s="12"/>
      <c r="R15" s="37"/>
      <c r="S15" s="37"/>
      <c r="T15" s="37"/>
      <c r="U15" s="15"/>
      <c r="W15" s="272"/>
    </row>
    <row r="16" spans="1:23" s="6" customFormat="1" ht="16.5" customHeight="1">
      <c r="A16" s="487"/>
      <c r="B16" s="270"/>
      <c r="C16" s="8"/>
      <c r="D16" s="693"/>
      <c r="E16" s="277"/>
      <c r="F16" s="277"/>
      <c r="G16" s="2">
        <v>0</v>
      </c>
      <c r="H16" s="532">
        <f>IF('Study Information &amp; rates'!$B$43="Yes",G16*28.7%,0)</f>
        <v>0</v>
      </c>
      <c r="I16" s="2">
        <f>G16+H16</f>
        <v>0</v>
      </c>
      <c r="J16" s="2">
        <f>'Set-up and other costs'!$B$18*Pharmacy!I16</f>
        <v>0</v>
      </c>
      <c r="K16" s="12"/>
      <c r="L16" s="12"/>
      <c r="M16" s="6" t="str">
        <f>'Look Up'!$A$11&amp;Pharmacy!C16</f>
        <v>Pharmacy</v>
      </c>
      <c r="N16" s="12"/>
      <c r="O16" s="12"/>
      <c r="P16" s="12"/>
      <c r="Q16" s="12"/>
      <c r="R16" s="12"/>
      <c r="S16" s="37"/>
      <c r="T16" s="37"/>
      <c r="U16" s="37"/>
      <c r="W16" s="272"/>
    </row>
    <row r="17" spans="4:23" s="6" customFormat="1" ht="13">
      <c r="D17" s="694">
        <f>SUM(D5:D16)</f>
        <v>0</v>
      </c>
      <c r="E17" s="695">
        <f>SUM(E5:E16)</f>
        <v>0</v>
      </c>
      <c r="F17" s="695">
        <f>SUM(F5:F16)</f>
        <v>0</v>
      </c>
      <c r="G17" s="291">
        <f>SUM(G5:G16)</f>
        <v>0</v>
      </c>
      <c r="H17" s="533">
        <f>SUM(H5:H16)</f>
        <v>0</v>
      </c>
      <c r="I17" s="2">
        <f>SUM(I5:I16)</f>
        <v>0</v>
      </c>
      <c r="J17" s="2">
        <f>SUM(J5:J16)</f>
        <v>0</v>
      </c>
      <c r="L17" s="12"/>
      <c r="W17" s="272"/>
    </row>
    <row r="18" spans="8:23" s="6" customFormat="1" ht="13">
      <c r="H18" s="36"/>
      <c r="I18" s="36"/>
      <c r="J18" s="36"/>
      <c r="K18" s="36"/>
      <c r="L18" s="12"/>
      <c r="M18" s="36"/>
      <c r="N18" s="36"/>
      <c r="O18" s="36"/>
      <c r="P18" s="36"/>
      <c r="Q18" s="36"/>
      <c r="R18" s="36"/>
      <c r="S18" s="36"/>
      <c r="T18" s="36"/>
      <c r="U18" s="37"/>
      <c r="V18" s="37"/>
      <c r="W18" s="273"/>
    </row>
    <row r="19" spans="1:12">
      <c r="A19"/>
      <c r="D19"/>
      <c r="E19"/>
      <c r="F19"/>
      <c r="G19"/>
      <c r="H19"/>
      <c r="J19"/>
      <c r="K19"/>
      <c r="L19" s="12"/>
    </row>
    <row r="20" spans="1:23" s="5" customFormat="1" ht="15.5">
      <c r="A20" s="21" t="s">
        <v>26</v>
      </c>
      <c r="B20" s="21"/>
      <c r="C20" s="21"/>
      <c r="L20" s="12"/>
      <c r="W20" s="274"/>
    </row>
    <row r="21" spans="1:12">
      <c r="A21"/>
      <c r="D21"/>
      <c r="E21"/>
      <c r="F21"/>
      <c r="G21"/>
      <c r="H21"/>
      <c r="J21"/>
      <c r="K21"/>
      <c r="L21" s="12"/>
    </row>
    <row r="22" spans="1:23" s="5" customFormat="1" ht="26">
      <c r="A22" s="9" t="s">
        <v>24</v>
      </c>
      <c r="B22" s="9"/>
      <c r="C22" s="9" t="s">
        <v>2058</v>
      </c>
      <c r="D22" s="428" t="s">
        <v>25</v>
      </c>
      <c r="E22" s="9" t="s">
        <v>2179</v>
      </c>
      <c r="F22"/>
      <c r="G22"/>
      <c r="H22"/>
      <c r="I22"/>
      <c r="J22" s="428" t="s">
        <v>2250</v>
      </c>
      <c r="L22" s="12"/>
      <c r="W22" s="274"/>
    </row>
    <row r="23" spans="1:23" s="5" customFormat="1" ht="13">
      <c r="A23" s="278" t="s">
        <v>2302</v>
      </c>
      <c r="B23" s="270"/>
      <c r="C23" s="8" t="s">
        <v>2013</v>
      </c>
      <c r="D23" s="439"/>
      <c r="E23" s="757"/>
      <c r="F23"/>
      <c r="G23"/>
      <c r="H23"/>
      <c r="I23"/>
      <c r="J23" s="2">
        <f>'Set-up and other costs'!$B$18*Pharmacy!D23*E23</f>
        <v>0</v>
      </c>
      <c r="L23" s="12"/>
      <c r="M23" s="6" t="str">
        <f>'Look Up'!$A$11&amp;Pharmacy!C23</f>
        <v>PharmacyResearch Cost B</v>
      </c>
      <c r="W23" s="274"/>
    </row>
    <row r="24" spans="1:23" s="5" customFormat="1" ht="13">
      <c r="A24" s="278" t="s">
        <v>2303</v>
      </c>
      <c r="B24" s="270"/>
      <c r="C24" s="8" t="s">
        <v>2013</v>
      </c>
      <c r="D24" s="439"/>
      <c r="E24" s="757"/>
      <c r="F24"/>
      <c r="G24"/>
      <c r="H24"/>
      <c r="I24"/>
      <c r="J24" s="2">
        <f>'Set-up and other costs'!$B$18*Pharmacy!D24*E24</f>
        <v>0</v>
      </c>
      <c r="L24" s="12"/>
      <c r="M24" s="6" t="str">
        <f>'Look Up'!$A$11&amp;Pharmacy!C24</f>
        <v>PharmacyResearch Cost B</v>
      </c>
      <c r="W24" s="274"/>
    </row>
    <row r="25" spans="1:23" s="5" customFormat="1" ht="13">
      <c r="A25" s="278" t="s">
        <v>2304</v>
      </c>
      <c r="B25" s="270"/>
      <c r="C25" s="8" t="s">
        <v>2013</v>
      </c>
      <c r="D25" s="456"/>
      <c r="E25" s="757"/>
      <c r="F25"/>
      <c r="G25"/>
      <c r="H25"/>
      <c r="I25"/>
      <c r="J25" s="2">
        <f>'Set-up and other costs'!$B$18*Pharmacy!D25*E25</f>
        <v>0</v>
      </c>
      <c r="L25" s="12"/>
      <c r="M25" s="6" t="str">
        <f>'Look Up'!$A$11&amp;Pharmacy!C25</f>
        <v>PharmacyResearch Cost B</v>
      </c>
      <c r="W25" s="274"/>
    </row>
    <row r="26" spans="1:23" s="5" customFormat="1" ht="13">
      <c r="A26" s="278" t="s">
        <v>2305</v>
      </c>
      <c r="B26" s="270"/>
      <c r="C26" s="8" t="s">
        <v>2013</v>
      </c>
      <c r="D26" s="456"/>
      <c r="E26" s="757"/>
      <c r="F26"/>
      <c r="G26"/>
      <c r="H26"/>
      <c r="I26"/>
      <c r="J26" s="2">
        <f>'Set-up and other costs'!$B$18*Pharmacy!D26*E26</f>
        <v>0</v>
      </c>
      <c r="L26" s="12"/>
      <c r="M26" s="6" t="str">
        <f>'Look Up'!$A$11&amp;Pharmacy!C26</f>
        <v>PharmacyResearch Cost B</v>
      </c>
      <c r="W26" s="274"/>
    </row>
    <row r="27" spans="4:23" s="5" customFormat="1" ht="13">
      <c r="D27" s="692">
        <f>SUM(D23:D26)</f>
        <v>0</v>
      </c>
      <c r="E27" s="692">
        <f>SUM(E23:E26)</f>
        <v>0</v>
      </c>
      <c r="F27"/>
      <c r="G27"/>
      <c r="H27"/>
      <c r="I27"/>
      <c r="J27" s="758">
        <f>SUM(J23:J26)</f>
        <v>0</v>
      </c>
      <c r="L27" s="6"/>
      <c r="W27" s="274"/>
    </row>
    <row r="28" spans="1:23" s="5" customFormat="1" ht="15.5">
      <c r="A28" s="21" t="s">
        <v>31</v>
      </c>
      <c r="B28" s="21"/>
      <c r="C28" s="21"/>
      <c r="L28" s="36"/>
      <c r="W28" s="274"/>
    </row>
    <row r="29" spans="1:12">
      <c r="A29" s="348" t="s">
        <v>2180</v>
      </c>
      <c r="D29"/>
      <c r="E29"/>
      <c r="F29"/>
      <c r="G29"/>
      <c r="H29"/>
      <c r="J29"/>
      <c r="K29"/>
      <c r="L29"/>
    </row>
    <row r="30" spans="1:23" s="5" customFormat="1" ht="26">
      <c r="A30" s="9" t="s">
        <v>24</v>
      </c>
      <c r="B30" s="9"/>
      <c r="C30" s="9" t="s">
        <v>2058</v>
      </c>
      <c r="D30" s="10" t="s">
        <v>25</v>
      </c>
      <c r="E30" s="9" t="s">
        <v>2179</v>
      </c>
      <c r="F30" s="480"/>
      <c r="G30" s="689" t="s">
        <v>3</v>
      </c>
      <c r="H30" s="534"/>
      <c r="I30" s="428" t="s">
        <v>2249</v>
      </c>
      <c r="J30" s="428" t="s">
        <v>2250</v>
      </c>
      <c r="W30" s="274"/>
    </row>
    <row r="31" spans="1:23" s="5" customFormat="1" ht="13">
      <c r="A31" s="278" t="s">
        <v>2167</v>
      </c>
      <c r="B31" s="270"/>
      <c r="C31" s="8" t="s">
        <v>2012</v>
      </c>
      <c r="D31" s="290">
        <v>25</v>
      </c>
      <c r="E31" s="690"/>
      <c r="F31" s="480" t="s">
        <v>2294</v>
      </c>
      <c r="G31" s="691">
        <f>D31*E31</f>
        <v>0</v>
      </c>
      <c r="H31" s="532"/>
      <c r="I31" s="2">
        <f>G31+H31</f>
        <v>0</v>
      </c>
      <c r="J31" s="2">
        <f>IF('Study Information &amp; rates'!B95="No",Pharmacy!I31,'Set-up and other costs'!$B$18*Pharmacy!I31)</f>
        <v>0</v>
      </c>
      <c r="L31"/>
      <c r="M31" s="6" t="str">
        <f>'Look Up'!$A$11&amp;Pharmacy!C31</f>
        <v>PharmacyResearch Cost A</v>
      </c>
      <c r="W31" s="274"/>
    </row>
    <row r="32" spans="1:23" s="5" customFormat="1" ht="13">
      <c r="A32" s="278" t="s">
        <v>2168</v>
      </c>
      <c r="B32" s="270"/>
      <c r="C32" s="8" t="s">
        <v>2073</v>
      </c>
      <c r="D32" s="290">
        <v>32</v>
      </c>
      <c r="E32" s="347"/>
      <c r="F32" s="480" t="s">
        <v>2295</v>
      </c>
      <c r="G32" s="691">
        <f>D32*E32</f>
        <v>0</v>
      </c>
      <c r="H32" s="532"/>
      <c r="I32" s="2">
        <f>G32+H32</f>
        <v>0</v>
      </c>
      <c r="J32" s="2">
        <f>IF('Study Information &amp; rates'!B96="No",Pharmacy!I32,'Set-up and other costs'!$B$18*Pharmacy!I32)</f>
        <v>0</v>
      </c>
      <c r="M32" s="6" t="str">
        <f>'Look Up'!$A$11&amp;Pharmacy!C32</f>
        <v>PharmacyService Support Cost</v>
      </c>
      <c r="W32" s="274"/>
    </row>
    <row r="33" spans="1:23" s="5" customFormat="1" ht="13">
      <c r="A33" s="278" t="s">
        <v>2169</v>
      </c>
      <c r="B33" s="270"/>
      <c r="C33" s="8" t="s">
        <v>2013</v>
      </c>
      <c r="D33" s="290">
        <v>32</v>
      </c>
      <c r="E33" s="347"/>
      <c r="F33" s="480" t="s">
        <v>2296</v>
      </c>
      <c r="G33" s="691">
        <f>D33*E33</f>
        <v>0</v>
      </c>
      <c r="H33" s="532"/>
      <c r="I33" s="2">
        <f>G33+H33</f>
        <v>0</v>
      </c>
      <c r="J33" s="2">
        <f>IF('Study Information &amp; rates'!B97="No",Pharmacy!I33,'Set-up and other costs'!$B$18*Pharmacy!I33)</f>
        <v>0</v>
      </c>
      <c r="M33" s="6" t="str">
        <f>'Look Up'!$A$11&amp;Pharmacy!C33</f>
        <v>PharmacyResearch Cost B</v>
      </c>
      <c r="W33" s="274"/>
    </row>
    <row r="34" spans="1:23" s="5" customFormat="1" ht="13">
      <c r="A34" s="278" t="s">
        <v>2170</v>
      </c>
      <c r="B34" s="270"/>
      <c r="C34" s="8" t="s">
        <v>2013</v>
      </c>
      <c r="D34" s="290">
        <v>32</v>
      </c>
      <c r="E34" s="347"/>
      <c r="F34" s="480" t="s">
        <v>2297</v>
      </c>
      <c r="G34" s="691">
        <f>D34*E34</f>
        <v>0</v>
      </c>
      <c r="H34" s="532"/>
      <c r="I34" s="2">
        <f>G34+H34</f>
        <v>0</v>
      </c>
      <c r="J34" s="2">
        <f>IF('Study Information &amp; rates'!B98="No",Pharmacy!I34,'Set-up and other costs'!$B$18*Pharmacy!I34)</f>
        <v>0</v>
      </c>
      <c r="M34" s="6" t="str">
        <f>'Look Up'!$A$11&amp;Pharmacy!C34</f>
        <v>PharmacyResearch Cost B</v>
      </c>
      <c r="W34" s="274"/>
    </row>
    <row r="35" spans="1:23" s="5" customFormat="1" ht="13">
      <c r="A35" s="278" t="s">
        <v>2171</v>
      </c>
      <c r="B35" s="270"/>
      <c r="C35" s="8" t="s">
        <v>2025</v>
      </c>
      <c r="D35" s="290">
        <v>49</v>
      </c>
      <c r="E35" s="347"/>
      <c r="F35" s="480" t="s">
        <v>2298</v>
      </c>
      <c r="G35" s="691">
        <f>D35*E35</f>
        <v>0</v>
      </c>
      <c r="H35" s="532"/>
      <c r="I35" s="2">
        <f>G35+H35</f>
        <v>0</v>
      </c>
      <c r="J35" s="2">
        <f>IF('Study Information &amp; rates'!B99="No",Pharmacy!I35,'Set-up and other costs'!$B$18*Pharmacy!I35)</f>
        <v>0</v>
      </c>
      <c r="M35" s="6" t="str">
        <f>'Look Up'!$A$11&amp;Pharmacy!C35</f>
        <v>PharmacyTreatment Costs</v>
      </c>
      <c r="W35" s="274"/>
    </row>
    <row r="36" spans="1:23" s="5" customFormat="1" ht="13">
      <c r="A36" s="278" t="s">
        <v>2172</v>
      </c>
      <c r="B36" s="270"/>
      <c r="C36" s="8" t="s">
        <v>2012</v>
      </c>
      <c r="D36" s="290">
        <v>42</v>
      </c>
      <c r="E36" s="347"/>
      <c r="F36" s="480" t="s">
        <v>2299</v>
      </c>
      <c r="G36" s="691">
        <f>D36*E36</f>
        <v>0</v>
      </c>
      <c r="H36" s="532"/>
      <c r="I36" s="2">
        <f>G36+H36</f>
        <v>0</v>
      </c>
      <c r="J36" s="2">
        <f>IF('Study Information &amp; rates'!B100="No",Pharmacy!I36,'Set-up and other costs'!$B$18*Pharmacy!I36)</f>
        <v>0</v>
      </c>
      <c r="M36" s="6" t="str">
        <f>'Look Up'!$A$11&amp;Pharmacy!C36</f>
        <v>PharmacyResearch Cost A</v>
      </c>
      <c r="W36" s="274"/>
    </row>
    <row r="37" spans="1:23" s="5" customFormat="1" ht="13">
      <c r="A37" s="278" t="s">
        <v>2173</v>
      </c>
      <c r="B37" s="270"/>
      <c r="C37" s="8" t="s">
        <v>2025</v>
      </c>
      <c r="D37" s="290">
        <v>32</v>
      </c>
      <c r="E37" s="347"/>
      <c r="F37" s="480" t="s">
        <v>2300</v>
      </c>
      <c r="G37" s="691">
        <f>D37*E37</f>
        <v>0</v>
      </c>
      <c r="H37" s="532"/>
      <c r="I37" s="2">
        <f>G37+H37</f>
        <v>0</v>
      </c>
      <c r="J37" s="2">
        <f>IF('Study Information &amp; rates'!B101="No",Pharmacy!I37,'Set-up and other costs'!$B$18*Pharmacy!I37)</f>
        <v>0</v>
      </c>
      <c r="M37" s="6" t="str">
        <f>'Look Up'!$A$11&amp;Pharmacy!C37</f>
        <v>PharmacyTreatment Costs</v>
      </c>
      <c r="W37" s="274"/>
    </row>
    <row r="38" spans="1:23" s="5" customFormat="1" ht="13">
      <c r="A38" s="278" t="s">
        <v>2174</v>
      </c>
      <c r="B38" s="270"/>
      <c r="C38" s="8" t="s">
        <v>2025</v>
      </c>
      <c r="D38" s="290">
        <v>50</v>
      </c>
      <c r="E38" s="347"/>
      <c r="F38" s="480" t="s">
        <v>2297</v>
      </c>
      <c r="G38" s="691">
        <f>D38*E38</f>
        <v>0</v>
      </c>
      <c r="H38" s="532"/>
      <c r="I38" s="2">
        <f>G38+H38</f>
        <v>0</v>
      </c>
      <c r="J38" s="2">
        <f>IF('Study Information &amp; rates'!B102="No",Pharmacy!I38,'Set-up and other costs'!$B$18*Pharmacy!I38)</f>
        <v>0</v>
      </c>
      <c r="M38" s="6" t="str">
        <f>'Look Up'!$A$11&amp;Pharmacy!C38</f>
        <v>PharmacyTreatment Costs</v>
      </c>
      <c r="W38" s="274"/>
    </row>
    <row r="39" spans="1:23" s="5" customFormat="1" ht="13">
      <c r="A39" s="278" t="s">
        <v>2175</v>
      </c>
      <c r="B39" s="270"/>
      <c r="C39" s="8" t="s">
        <v>2013</v>
      </c>
      <c r="D39" s="290">
        <v>32</v>
      </c>
      <c r="E39" s="347"/>
      <c r="F39" s="480" t="s">
        <v>2301</v>
      </c>
      <c r="G39" s="691">
        <f>D39*E39</f>
        <v>0</v>
      </c>
      <c r="H39" s="532"/>
      <c r="I39" s="2">
        <f>G39+H39</f>
        <v>0</v>
      </c>
      <c r="J39" s="2">
        <f>IF('Study Information &amp; rates'!B103="No",Pharmacy!I39,'Set-up and other costs'!$B$18*Pharmacy!I39)</f>
        <v>0</v>
      </c>
      <c r="M39" s="6" t="str">
        <f>'Look Up'!$A$11&amp;Pharmacy!C39</f>
        <v>PharmacyResearch Cost B</v>
      </c>
      <c r="W39" s="274"/>
    </row>
    <row r="40" spans="1:23" s="5" customFormat="1" ht="13">
      <c r="A40" s="278" t="s">
        <v>2176</v>
      </c>
      <c r="B40" s="270"/>
      <c r="C40" s="8" t="s">
        <v>2012</v>
      </c>
      <c r="D40" s="290">
        <v>32</v>
      </c>
      <c r="E40" s="347"/>
      <c r="F40" s="480" t="s">
        <v>2296</v>
      </c>
      <c r="G40" s="691">
        <f>D40*E40</f>
        <v>0</v>
      </c>
      <c r="H40" s="532"/>
      <c r="I40" s="2">
        <f>G40+H40</f>
        <v>0</v>
      </c>
      <c r="J40" s="2">
        <f>IF('Study Information &amp; rates'!B104="No",Pharmacy!I40,'Set-up and other costs'!$B$18*Pharmacy!I40)</f>
        <v>0</v>
      </c>
      <c r="M40" s="6" t="str">
        <f>'Look Up'!$A$11&amp;Pharmacy!C40</f>
        <v>PharmacyResearch Cost A</v>
      </c>
      <c r="W40" s="274"/>
    </row>
    <row r="41" spans="1:23" s="5" customFormat="1" ht="13">
      <c r="A41" s="278" t="s">
        <v>2177</v>
      </c>
      <c r="B41" s="270"/>
      <c r="C41" s="8" t="s">
        <v>2012</v>
      </c>
      <c r="D41" s="290"/>
      <c r="E41" s="347"/>
      <c r="F41" s="480"/>
      <c r="G41" s="691">
        <f>D41*E41</f>
        <v>0</v>
      </c>
      <c r="H41" s="532"/>
      <c r="I41" s="2">
        <f>G41+H41</f>
        <v>0</v>
      </c>
      <c r="J41" s="2">
        <f>IF('Study Information &amp; rates'!B105="No",Pharmacy!I41,'Set-up and other costs'!$B$18*Pharmacy!I41)</f>
        <v>0</v>
      </c>
      <c r="M41" s="6" t="str">
        <f>'Look Up'!$A$11&amp;Pharmacy!C41</f>
        <v>PharmacyResearch Cost A</v>
      </c>
      <c r="W41" s="274"/>
    </row>
    <row r="42" spans="1:23" s="5" customFormat="1" ht="13">
      <c r="A42" s="278" t="s">
        <v>2178</v>
      </c>
      <c r="B42" s="270"/>
      <c r="C42" s="8"/>
      <c r="D42" s="290"/>
      <c r="E42" s="347"/>
      <c r="F42" s="480"/>
      <c r="G42" s="691">
        <f>D42*E42</f>
        <v>0</v>
      </c>
      <c r="H42" s="532"/>
      <c r="I42" s="2">
        <f>G42+H42</f>
        <v>0</v>
      </c>
      <c r="J42" s="2">
        <f>IF('Study Information &amp; rates'!B106="No",Pharmacy!I42,'Set-up and other costs'!$B$18*Pharmacy!I42)</f>
        <v>0</v>
      </c>
      <c r="L42"/>
      <c r="M42" s="6" t="str">
        <f>'Look Up'!$A$11&amp;Pharmacy!C42</f>
        <v>Pharmacy</v>
      </c>
      <c r="W42" s="274"/>
    </row>
    <row r="43" spans="1:23" s="5" customFormat="1" ht="13">
      <c r="A43" s="278"/>
      <c r="B43" s="270"/>
      <c r="C43" s="8"/>
      <c r="D43" s="290"/>
      <c r="E43" s="347"/>
      <c r="F43" s="480"/>
      <c r="G43" s="691">
        <f>D43*E43</f>
        <v>0</v>
      </c>
      <c r="H43" s="532"/>
      <c r="I43" s="2">
        <f>G43+H43</f>
        <v>0</v>
      </c>
      <c r="J43" s="2">
        <f>IF('Study Information &amp; rates'!B107="No",Pharmacy!I43,'Set-up and other costs'!$B$18*Pharmacy!I43)</f>
        <v>0</v>
      </c>
      <c r="M43" s="6" t="str">
        <f>'Look Up'!$A$11&amp;Pharmacy!C43</f>
        <v>Pharmacy</v>
      </c>
      <c r="W43" s="274"/>
    </row>
    <row r="44" spans="1:23" s="5" customFormat="1" ht="18.75" customHeight="1">
      <c r="A44" s="23" t="s">
        <v>34</v>
      </c>
      <c r="B44" s="23"/>
      <c r="C44" s="23"/>
      <c r="I44" s="2">
        <f>SUM(I31:I43)</f>
        <v>0</v>
      </c>
      <c r="J44" s="2">
        <f>SUM(J31:J43)</f>
        <v>0</v>
      </c>
      <c r="W44" s="274"/>
    </row>
    <row r="45" spans="1:12">
      <c r="A45"/>
      <c r="D45"/>
      <c r="E45"/>
      <c r="F45"/>
      <c r="G45"/>
      <c r="H45"/>
      <c r="J45"/>
      <c r="K45"/>
      <c r="L45" s="5"/>
    </row>
    <row r="46" spans="1:12">
      <c r="A46" t="s">
        <v>50</v>
      </c>
      <c r="D46"/>
      <c r="E46"/>
      <c r="F46"/>
      <c r="G46" s="239"/>
      <c r="H46"/>
      <c r="J46"/>
      <c r="K46"/>
      <c r="L46"/>
    </row>
    <row r="47" spans="1:12">
      <c r="A47"/>
      <c r="D47"/>
      <c r="E47"/>
      <c r="F47"/>
      <c r="G47"/>
      <c r="H47"/>
      <c r="J47"/>
      <c r="K47"/>
      <c r="L47"/>
    </row>
    <row r="48" spans="1:12">
      <c r="A48"/>
      <c r="D48"/>
      <c r="E48"/>
      <c r="F48"/>
      <c r="G48"/>
      <c r="H48"/>
      <c r="J48"/>
      <c r="K48"/>
      <c r="L48"/>
    </row>
    <row r="49" spans="1:12">
      <c r="A49"/>
      <c r="D49"/>
      <c r="E49"/>
      <c r="F49"/>
      <c r="G49"/>
      <c r="H49"/>
      <c r="J49"/>
      <c r="K49"/>
      <c r="L49"/>
    </row>
  </sheetData>
  <sheetProtection algorithmName="SHA-512" hashValue="NetmcwE3XDTzHacKV9fkMdsj0Rvk3pr6OVw6kjTcEnrlc9bKl7ntrj8YXLqHq1yjyPk1QG2joStFbNPIhXDjKw==" saltValue="BDef+wNxEYsriOGHs6/Ljw==" spinCount="100000" sheet="1" objects="1" scenarios="1"/>
  <dataValidations count="8">
    <dataValidation type="list" allowBlank="1" showInputMessage="1" showErrorMessage="1" sqref="B5:B21 B31:B35 B23:B25 B44:B45">
      <formula1>$W$2:$W$3</formula1>
    </dataValidation>
    <dataValidation type="whole" operator="greaterThan" allowBlank="1" showInputMessage="1" showErrorMessage="1" sqref="N16:R16 N15:Q15 G17:H17 K15:L26 E5:F21 F22:I27">
      <formula1>0</formula1>
    </dataValidation>
    <dataValidation type="list" allowBlank="1" showInputMessage="1" showErrorMessage="1" sqref="C5:C16 C31:C43 C23:C26">
      <formula1>AcCord</formula1>
    </dataValidation>
    <dataValidation type="list" allowBlank="1" showInputMessage="1" showErrorMessage="1" sqref="C44:C45">
      <formula1>'Look Up'!A29:A31</formula1>
    </dataValidation>
    <dataValidation type="list" allowBlank="1" showInputMessage="1" showErrorMessage="1" sqref="C31:C43 C26">
      <formula1>'Look Up'!A25:A31</formula1>
    </dataValidation>
    <dataValidation type="list" allowBlank="1" showInputMessage="1" showErrorMessage="1" sqref="C17:C21">
      <formula1>'Look Up'!A5:A7</formula1>
    </dataValidation>
    <dataValidation type="list" allowBlank="1" showInputMessage="1" showErrorMessage="1" sqref="C5:C16">
      <formula1>'Look Up'!A5:A9</formula1>
    </dataValidation>
    <dataValidation type="list" allowBlank="1" showInputMessage="1" showErrorMessage="1" sqref="C23:C25">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45"/>
  <sheetViews>
    <sheetView topLeftCell="A5" zoomScale="80" view="normal" workbookViewId="0">
      <selection pane="topLeft" activeCell="S14" sqref="S14"/>
    </sheetView>
  </sheetViews>
  <sheetFormatPr defaultColWidth="9.1796875" defaultRowHeight="14.5"/>
  <cols>
    <col min="1" max="1" width="43.140625" style="349" customWidth="1"/>
    <col min="2" max="2" width="44.140625" style="349" customWidth="1"/>
    <col min="3" max="3" width="28.7109375" style="349" customWidth="1"/>
    <col min="4" max="4" width="43.140625" style="349" customWidth="1"/>
    <col min="5" max="5" width="18.140625" style="349" customWidth="1"/>
    <col min="6" max="6" width="11.140625" style="349" customWidth="1"/>
    <col min="7" max="7" width="9.41796875" style="349" customWidth="1"/>
    <col min="8" max="8" width="18.140625" style="349" customWidth="1"/>
    <col min="9" max="9" width="10.41796875" style="349" customWidth="1"/>
    <col min="10" max="10" width="10.41796875" style="349" hidden="1" customWidth="1"/>
    <col min="11" max="11" width="14.27734375" style="349" customWidth="1"/>
    <col min="12" max="12" width="6.41796875" style="349" hidden="1" customWidth="1"/>
    <col min="13" max="13" width="7.5703125" style="349" hidden="1" customWidth="1"/>
    <col min="14" max="14" width="6.41796875" style="349" hidden="1" customWidth="1"/>
    <col min="15" max="16" width="6.41796875" style="349" customWidth="1"/>
    <col min="17" max="17" width="7.5703125" style="349" customWidth="1"/>
    <col min="18" max="18" width="17.41796875" style="349" customWidth="1"/>
    <col min="19" max="19" width="37.41796875" style="349" customWidth="1"/>
    <col min="20" max="20" width="9.41796875" style="349" customWidth="1"/>
    <col min="21" max="22" width="9.140625" style="349" customWidth="1"/>
    <col min="23" max="23" width="9.140625" style="485" customWidth="1"/>
    <col min="24" max="16384" width="9.140625" style="349" customWidth="1"/>
  </cols>
  <sheetData>
    <row r="1" spans="4:4">
      <c r="D1" s="484"/>
    </row>
    <row r="2" spans="1:23" s="183" customFormat="1" ht="15.5">
      <c r="A2" s="462" t="s">
        <v>1705</v>
      </c>
      <c r="B2" s="462"/>
      <c r="C2" s="462"/>
      <c r="D2" s="462"/>
      <c r="E2" s="448"/>
      <c r="F2" s="448"/>
      <c r="G2" s="448"/>
      <c r="H2" s="448"/>
      <c r="W2" s="486" t="s">
        <v>1979</v>
      </c>
    </row>
    <row r="3" spans="1:23" s="183" customFormat="1" ht="12.75" customHeight="1">
      <c r="A3" s="465"/>
      <c r="B3" s="465"/>
      <c r="C3" s="465"/>
      <c r="D3" s="465"/>
      <c r="W3" s="486" t="s">
        <v>1980</v>
      </c>
    </row>
    <row r="4" spans="1:23" s="183" customFormat="1" ht="26">
      <c r="A4" s="428" t="s">
        <v>2038</v>
      </c>
      <c r="B4" s="428" t="s">
        <v>2033</v>
      </c>
      <c r="C4" s="428" t="s">
        <v>1926</v>
      </c>
      <c r="D4" s="428" t="s">
        <v>2058</v>
      </c>
      <c r="E4" s="444" t="s">
        <v>21</v>
      </c>
      <c r="F4" s="428" t="s">
        <v>2037</v>
      </c>
      <c r="G4" s="428" t="s">
        <v>2036</v>
      </c>
      <c r="H4" s="428" t="s">
        <v>3</v>
      </c>
      <c r="I4" s="535" t="s">
        <v>5</v>
      </c>
      <c r="J4" s="428" t="s">
        <v>2249</v>
      </c>
      <c r="K4" s="428" t="s">
        <v>2250</v>
      </c>
      <c r="R4" s="1004" t="s">
        <v>2465</v>
      </c>
      <c r="S4" s="1005"/>
      <c r="W4" s="486"/>
    </row>
    <row r="5" spans="1:23" s="183" customFormat="1" ht="16.5" customHeight="1">
      <c r="A5" s="325"/>
      <c r="B5" s="270"/>
      <c r="C5" s="270"/>
      <c r="D5" s="8"/>
      <c r="E5" s="308"/>
      <c r="F5" s="277"/>
      <c r="G5" s="277"/>
      <c r="H5" s="438">
        <f>(F5*G5)*E5</f>
        <v>0</v>
      </c>
      <c r="I5" s="555">
        <v>0</v>
      </c>
      <c r="J5" s="438">
        <f>H5+I5</f>
        <v>0</v>
      </c>
      <c r="K5" s="438">
        <f>H5+I5</f>
        <v>0</v>
      </c>
      <c r="M5" s="183" t="str">
        <f>'Look Up'!$A$17&amp;$D5</f>
        <v>Radiology</v>
      </c>
      <c r="R5" s="1004" t="s">
        <v>2466</v>
      </c>
      <c r="S5" s="1005"/>
      <c r="W5" s="486"/>
    </row>
    <row r="6" spans="1:23" s="183" customFormat="1" ht="16.5" customHeight="1">
      <c r="A6" s="325"/>
      <c r="B6" s="270"/>
      <c r="C6" s="270"/>
      <c r="D6" s="8"/>
      <c r="E6" s="308"/>
      <c r="F6" s="277"/>
      <c r="G6" s="277"/>
      <c r="H6" s="438">
        <f>(F6*G6)*E6</f>
        <v>0</v>
      </c>
      <c r="I6" s="555">
        <v>0</v>
      </c>
      <c r="J6" s="438">
        <f>H6+I6</f>
        <v>0</v>
      </c>
      <c r="K6" s="438">
        <f>H6+I6</f>
        <v>0</v>
      </c>
      <c r="M6" s="183" t="str">
        <f>'Look Up'!$A$17&amp;$D6</f>
        <v>Radiology</v>
      </c>
      <c r="R6" s="1004" t="s">
        <v>1999</v>
      </c>
      <c r="S6" s="1005"/>
      <c r="W6" s="486"/>
    </row>
    <row r="7" spans="1:23" s="183" customFormat="1" ht="16.5" customHeight="1">
      <c r="A7" s="325"/>
      <c r="B7" s="270"/>
      <c r="C7" s="270"/>
      <c r="D7" s="8"/>
      <c r="E7" s="308"/>
      <c r="F7" s="277"/>
      <c r="G7" s="277"/>
      <c r="H7" s="438">
        <f>(F7*G7)*E7</f>
        <v>0</v>
      </c>
      <c r="I7" s="555">
        <v>0</v>
      </c>
      <c r="J7" s="438">
        <f>H7+I7</f>
        <v>0</v>
      </c>
      <c r="K7" s="438">
        <f>H7+I7</f>
        <v>0</v>
      </c>
      <c r="M7" s="183" t="str">
        <f>'Look Up'!$A$17&amp;$D7</f>
        <v>Radiology</v>
      </c>
      <c r="W7" s="486"/>
    </row>
    <row r="8" spans="1:23" s="183" customFormat="1" ht="16.5" customHeight="1">
      <c r="A8" s="487"/>
      <c r="B8" s="270"/>
      <c r="C8" s="270"/>
      <c r="D8" s="8"/>
      <c r="E8" s="488"/>
      <c r="F8" s="277"/>
      <c r="G8" s="277"/>
      <c r="H8" s="438">
        <f>(F8*G8)*E8</f>
        <v>0</v>
      </c>
      <c r="I8" s="555">
        <v>0</v>
      </c>
      <c r="J8" s="438">
        <f>H8+I8</f>
        <v>0</v>
      </c>
      <c r="K8" s="438">
        <f>H8+I8</f>
        <v>0</v>
      </c>
      <c r="M8" s="183" t="str">
        <f>'Look Up'!$A$17&amp;$D8</f>
        <v>Radiology</v>
      </c>
      <c r="W8" s="486"/>
    </row>
    <row r="9" spans="1:23" s="183" customFormat="1" ht="16.5" customHeight="1">
      <c r="A9" s="487"/>
      <c r="B9" s="270"/>
      <c r="C9" s="270"/>
      <c r="D9" s="8"/>
      <c r="E9" s="488"/>
      <c r="F9" s="277"/>
      <c r="G9" s="277"/>
      <c r="H9" s="438">
        <f>(F9*G9)*E9</f>
        <v>0</v>
      </c>
      <c r="I9" s="555">
        <v>0</v>
      </c>
      <c r="J9" s="438">
        <f>H9+I9</f>
        <v>0</v>
      </c>
      <c r="K9" s="438">
        <f>H9+I9</f>
        <v>0</v>
      </c>
      <c r="M9" s="183" t="str">
        <f>'Look Up'!$A$17&amp;$D9</f>
        <v>Radiology</v>
      </c>
      <c r="W9" s="486"/>
    </row>
    <row r="10" spans="1:23" s="183" customFormat="1" ht="16.5" customHeight="1">
      <c r="A10" s="487"/>
      <c r="B10" s="270"/>
      <c r="C10" s="270"/>
      <c r="D10" s="8"/>
      <c r="E10" s="488"/>
      <c r="F10" s="277"/>
      <c r="G10" s="277"/>
      <c r="H10" s="438">
        <f>(F10*G10)*E10</f>
        <v>0</v>
      </c>
      <c r="I10" s="555">
        <v>0</v>
      </c>
      <c r="J10" s="438">
        <f>H10+I10</f>
        <v>0</v>
      </c>
      <c r="K10" s="438">
        <f>H10+I10</f>
        <v>0</v>
      </c>
      <c r="M10" s="183" t="str">
        <f>'Look Up'!$A$17&amp;$D10</f>
        <v>Radiology</v>
      </c>
      <c r="W10" s="486"/>
    </row>
    <row r="11" spans="1:23" s="183" customFormat="1" ht="16.5" customHeight="1">
      <c r="A11" s="487"/>
      <c r="B11" s="270"/>
      <c r="C11" s="270"/>
      <c r="D11" s="8"/>
      <c r="E11" s="488"/>
      <c r="F11" s="277"/>
      <c r="G11" s="277"/>
      <c r="H11" s="438">
        <f>(F11*G11)*E11</f>
        <v>0</v>
      </c>
      <c r="I11" s="555">
        <v>0</v>
      </c>
      <c r="J11" s="438">
        <f>H11+I11</f>
        <v>0</v>
      </c>
      <c r="K11" s="438">
        <f>H11+I11</f>
        <v>0</v>
      </c>
      <c r="M11" s="183" t="str">
        <f>'Look Up'!$A$17&amp;$D11</f>
        <v>Radiology</v>
      </c>
      <c r="W11" s="486"/>
    </row>
    <row r="12" spans="1:23" s="183" customFormat="1" ht="16.5" customHeight="1">
      <c r="A12" s="487"/>
      <c r="B12" s="270"/>
      <c r="C12" s="270"/>
      <c r="D12" s="8"/>
      <c r="E12" s="488"/>
      <c r="F12" s="277"/>
      <c r="G12" s="277"/>
      <c r="H12" s="438">
        <f>(F12*G12)*E12</f>
        <v>0</v>
      </c>
      <c r="I12" s="555">
        <v>0</v>
      </c>
      <c r="J12" s="438">
        <f>H12+I12</f>
        <v>0</v>
      </c>
      <c r="K12" s="438">
        <f>H12+I12</f>
        <v>0</v>
      </c>
      <c r="M12" s="183" t="str">
        <f>'Look Up'!$A$17&amp;$D12</f>
        <v>Radiology</v>
      </c>
      <c r="W12" s="486"/>
    </row>
    <row r="13" spans="1:23" s="183" customFormat="1" ht="16.5" customHeight="1">
      <c r="A13" s="487"/>
      <c r="B13" s="270"/>
      <c r="C13" s="270"/>
      <c r="D13" s="8"/>
      <c r="E13" s="488"/>
      <c r="F13" s="277"/>
      <c r="G13" s="277"/>
      <c r="H13" s="438">
        <f>(F13*G13)*E13</f>
        <v>0</v>
      </c>
      <c r="I13" s="555">
        <v>0</v>
      </c>
      <c r="J13" s="438">
        <f>H13+I13</f>
        <v>0</v>
      </c>
      <c r="K13" s="438">
        <f>H13+I13</f>
        <v>0</v>
      </c>
      <c r="M13" s="183" t="str">
        <f>'Look Up'!$A$17&amp;$D13</f>
        <v>Radiology</v>
      </c>
      <c r="W13" s="486"/>
    </row>
    <row r="14" spans="1:23" s="183" customFormat="1" ht="16.5" customHeight="1">
      <c r="A14" s="487"/>
      <c r="B14" s="270"/>
      <c r="C14" s="270"/>
      <c r="D14" s="8"/>
      <c r="E14" s="488"/>
      <c r="F14" s="277"/>
      <c r="G14" s="277"/>
      <c r="H14" s="438">
        <f>(F14*G14)*E14</f>
        <v>0</v>
      </c>
      <c r="I14" s="555">
        <v>0</v>
      </c>
      <c r="J14" s="438">
        <f>H14+I14</f>
        <v>0</v>
      </c>
      <c r="K14" s="438">
        <f>H14+I14</f>
        <v>0</v>
      </c>
      <c r="M14" s="183" t="str">
        <f>'Look Up'!$A$17&amp;$D14</f>
        <v>Radiology</v>
      </c>
      <c r="W14" s="486"/>
    </row>
    <row r="15" spans="1:23" s="183" customFormat="1" ht="16.5" customHeight="1">
      <c r="A15" s="487"/>
      <c r="B15" s="270"/>
      <c r="C15" s="270"/>
      <c r="D15" s="8"/>
      <c r="E15" s="488"/>
      <c r="F15" s="277"/>
      <c r="G15" s="277"/>
      <c r="H15" s="438">
        <f>(F15*G15)*E15</f>
        <v>0</v>
      </c>
      <c r="I15" s="555">
        <v>0</v>
      </c>
      <c r="J15" s="438">
        <f>H15+I15</f>
        <v>0</v>
      </c>
      <c r="K15" s="438">
        <f>H15+I15</f>
        <v>0</v>
      </c>
      <c r="L15" s="12"/>
      <c r="M15" s="183" t="str">
        <f>'Look Up'!$A$17&amp;$D15</f>
        <v>Radiology</v>
      </c>
      <c r="N15" s="12"/>
      <c r="O15" s="12"/>
      <c r="P15" s="12"/>
      <c r="Q15" s="12"/>
      <c r="R15" s="489"/>
      <c r="S15" s="489"/>
      <c r="T15" s="489"/>
      <c r="U15" s="188"/>
      <c r="W15" s="486"/>
    </row>
    <row r="16" spans="1:23" s="183" customFormat="1" ht="16.5" customHeight="1">
      <c r="A16" s="487"/>
      <c r="B16" s="270"/>
      <c r="C16" s="270"/>
      <c r="D16" s="8"/>
      <c r="E16" s="488"/>
      <c r="F16" s="277"/>
      <c r="G16" s="277"/>
      <c r="H16" s="438">
        <v>0</v>
      </c>
      <c r="I16" s="555">
        <v>0</v>
      </c>
      <c r="J16" s="438">
        <f>H16+I16</f>
        <v>0</v>
      </c>
      <c r="K16" s="438">
        <f>H16+I16</f>
        <v>0</v>
      </c>
      <c r="L16" s="12"/>
      <c r="M16" s="183" t="str">
        <f>'Look Up'!$A$17&amp;$D16</f>
        <v>Radiology</v>
      </c>
      <c r="N16" s="12"/>
      <c r="O16" s="12"/>
      <c r="P16" s="12"/>
      <c r="Q16" s="12"/>
      <c r="R16" s="12"/>
      <c r="S16" s="489"/>
      <c r="T16" s="489"/>
      <c r="U16" s="489"/>
      <c r="W16" s="486"/>
    </row>
    <row r="17" spans="5:23" s="183" customFormat="1" ht="13">
      <c r="E17" s="696">
        <f>SUM(E5:E16)</f>
        <v>0</v>
      </c>
      <c r="F17" s="490">
        <f>SUM(F5:F16)</f>
        <v>0</v>
      </c>
      <c r="G17" s="490">
        <f>SUM(G5:G16)</f>
        <v>0</v>
      </c>
      <c r="H17" s="556">
        <f>SUM(H5:H16)</f>
        <v>0</v>
      </c>
      <c r="I17" s="557">
        <f>SUM(I5:I16)</f>
        <v>0</v>
      </c>
      <c r="J17" s="438">
        <f>SUM(J5:J16)</f>
        <v>0</v>
      </c>
      <c r="K17" s="556">
        <f>SUM(K5:K16)</f>
        <v>0</v>
      </c>
      <c r="W17" s="486"/>
    </row>
    <row r="18" spans="9:23" s="183" customFormat="1" ht="13">
      <c r="I18" s="12"/>
      <c r="J18" s="12"/>
      <c r="K18" s="12"/>
      <c r="L18" s="12"/>
      <c r="M18" s="12"/>
      <c r="N18" s="12"/>
      <c r="O18" s="12"/>
      <c r="P18" s="12"/>
      <c r="Q18" s="12"/>
      <c r="R18" s="12"/>
      <c r="S18" s="12"/>
      <c r="T18" s="12"/>
      <c r="U18" s="489"/>
      <c r="V18" s="489"/>
      <c r="W18" s="491"/>
    </row>
    <row r="20" spans="1:23" s="493" customFormat="1" ht="15.5">
      <c r="A20" s="492" t="s">
        <v>26</v>
      </c>
      <c r="B20" s="492"/>
      <c r="C20" s="492"/>
      <c r="D20" s="492"/>
      <c r="W20" s="494"/>
    </row>
    <row r="21" spans="6:9">
      <c r="F21" s="493"/>
      <c r="G21" s="493"/>
      <c r="H21" s="493"/>
      <c r="I21" s="493"/>
    </row>
    <row r="22" spans="1:23" s="493" customFormat="1" ht="26">
      <c r="A22" s="428" t="s">
        <v>24</v>
      </c>
      <c r="B22" s="428" t="s">
        <v>2035</v>
      </c>
      <c r="C22" s="428" t="s">
        <v>1926</v>
      </c>
      <c r="D22" s="470" t="s">
        <v>2058</v>
      </c>
      <c r="E22" s="428" t="s">
        <v>25</v>
      </c>
      <c r="J22" s="495"/>
      <c r="K22" s="428" t="s">
        <v>2250</v>
      </c>
      <c r="W22" s="494"/>
    </row>
    <row r="23" spans="1:23" s="493" customFormat="1" ht="13">
      <c r="A23" s="278"/>
      <c r="B23" s="270"/>
      <c r="C23" s="270"/>
      <c r="D23" s="454"/>
      <c r="E23" s="502"/>
      <c r="J23" s="495"/>
      <c r="K23" s="501">
        <f>'Set-up and other costs'!$B$18*E23</f>
        <v>0</v>
      </c>
      <c r="M23" s="183" t="str">
        <f>'Look Up'!$A$17&amp;$D23</f>
        <v>Radiology</v>
      </c>
      <c r="W23" s="494"/>
    </row>
    <row r="24" spans="1:23" s="493" customFormat="1" ht="13">
      <c r="A24" s="278"/>
      <c r="B24" s="270"/>
      <c r="C24" s="270"/>
      <c r="D24" s="454"/>
      <c r="E24" s="502"/>
      <c r="J24" s="495"/>
      <c r="K24" s="501">
        <f>'Set-up and other costs'!$B$18*E24</f>
        <v>0</v>
      </c>
      <c r="M24" s="183" t="str">
        <f>'Look Up'!$A$17&amp;$D24</f>
        <v>Radiology</v>
      </c>
      <c r="W24" s="494"/>
    </row>
    <row r="25" spans="1:23" s="493" customFormat="1" ht="13">
      <c r="A25" s="278"/>
      <c r="B25" s="270"/>
      <c r="C25" s="270"/>
      <c r="D25" s="454"/>
      <c r="E25" s="502"/>
      <c r="J25" s="495"/>
      <c r="K25" s="501">
        <f>'Set-up and other costs'!$B$18*E25</f>
        <v>0</v>
      </c>
      <c r="M25" s="183" t="str">
        <f>'Look Up'!$A$17&amp;$D25</f>
        <v>Radiology</v>
      </c>
      <c r="W25" s="494"/>
    </row>
    <row r="26" spans="1:23" s="493" customFormat="1" ht="13">
      <c r="A26" s="278"/>
      <c r="B26" s="270"/>
      <c r="C26" s="270"/>
      <c r="D26" s="454"/>
      <c r="E26" s="502"/>
      <c r="J26" s="495"/>
      <c r="K26" s="501">
        <f>'Set-up and other costs'!$B$18*E26</f>
        <v>0</v>
      </c>
      <c r="M26" s="183" t="str">
        <f>'Look Up'!$A$17&amp;$D26</f>
        <v>Radiology</v>
      </c>
      <c r="W26" s="494"/>
    </row>
    <row r="27" spans="1:23" s="493" customFormat="1" ht="13">
      <c r="A27" s="278"/>
      <c r="B27" s="270"/>
      <c r="C27" s="270"/>
      <c r="D27" s="454"/>
      <c r="E27" s="502"/>
      <c r="J27" s="495"/>
      <c r="K27" s="501">
        <f>'Set-up and other costs'!$B$18*E27</f>
        <v>0</v>
      </c>
      <c r="M27" s="183" t="str">
        <f>'Look Up'!$A$17&amp;$D27</f>
        <v>Radiology</v>
      </c>
      <c r="W27" s="494"/>
    </row>
    <row r="28" spans="1:23" s="493" customFormat="1" ht="13">
      <c r="A28" s="278"/>
      <c r="B28" s="270"/>
      <c r="C28" s="270"/>
      <c r="D28" s="454"/>
      <c r="E28" s="502"/>
      <c r="J28" s="495"/>
      <c r="K28" s="501">
        <f>'Set-up and other costs'!$B$18*E28</f>
        <v>0</v>
      </c>
      <c r="M28" s="183" t="str">
        <f>'Look Up'!$A$17&amp;$D28</f>
        <v>Radiology</v>
      </c>
      <c r="W28" s="494"/>
    </row>
    <row r="29" spans="1:23" s="493" customFormat="1" ht="13">
      <c r="A29" s="278"/>
      <c r="B29" s="270"/>
      <c r="C29" s="270"/>
      <c r="D29" s="454"/>
      <c r="E29" s="502"/>
      <c r="J29" s="495"/>
      <c r="K29" s="501">
        <f>'Set-up and other costs'!$B$18*E29</f>
        <v>0</v>
      </c>
      <c r="M29" s="183" t="str">
        <f>'Look Up'!$A$17&amp;$D29</f>
        <v>Radiology</v>
      </c>
      <c r="W29" s="494"/>
    </row>
    <row r="30" spans="5:23" s="493" customFormat="1" ht="13">
      <c r="E30" s="697">
        <f>SUM(E23:E29)</f>
        <v>0</v>
      </c>
      <c r="J30" s="495"/>
      <c r="K30" s="698">
        <f>SUM(K23:K29)</f>
        <v>0</v>
      </c>
      <c r="W30" s="494"/>
    </row>
    <row r="31" spans="1:23" s="493" customFormat="1" ht="15.5">
      <c r="A31" s="492" t="s">
        <v>2034</v>
      </c>
      <c r="B31" s="492"/>
      <c r="C31" s="492"/>
      <c r="D31" s="492"/>
      <c r="E31" s="492"/>
      <c r="J31" s="492"/>
      <c r="K31" s="492"/>
      <c r="W31" s="494"/>
    </row>
    <row r="32" spans="5:11" ht="15.5">
      <c r="E32" s="492"/>
      <c r="F32" s="492"/>
      <c r="G32" s="492"/>
      <c r="H32" s="492"/>
      <c r="I32" s="492"/>
      <c r="J32" s="492"/>
      <c r="K32" s="492"/>
    </row>
    <row r="33" spans="1:23" s="493" customFormat="1" ht="39">
      <c r="A33" s="428" t="s">
        <v>24</v>
      </c>
      <c r="B33" s="428" t="s">
        <v>2033</v>
      </c>
      <c r="C33" s="428" t="s">
        <v>1926</v>
      </c>
      <c r="D33" s="428" t="s">
        <v>2058</v>
      </c>
      <c r="E33" s="496" t="s">
        <v>2032</v>
      </c>
      <c r="F33" s="496" t="s">
        <v>2031</v>
      </c>
      <c r="G33" s="428" t="s">
        <v>25</v>
      </c>
      <c r="H33" s="428" t="s">
        <v>27</v>
      </c>
      <c r="I33" s="428" t="s">
        <v>28</v>
      </c>
      <c r="J33" s="428" t="s">
        <v>2249</v>
      </c>
      <c r="K33" s="428" t="s">
        <v>2250</v>
      </c>
      <c r="W33" s="494"/>
    </row>
    <row r="34" spans="1:23" s="493" customFormat="1" ht="13">
      <c r="A34" s="278"/>
      <c r="B34" s="270"/>
      <c r="C34" s="270"/>
      <c r="D34" s="8"/>
      <c r="E34" s="497"/>
      <c r="F34" s="498"/>
      <c r="G34" s="279"/>
      <c r="H34" s="482"/>
      <c r="I34" s="483"/>
      <c r="J34" s="558">
        <f>I34*H34*G34</f>
        <v>0</v>
      </c>
      <c r="K34" s="501">
        <f>'Set-up and other costs'!$B$18*J34</f>
        <v>0</v>
      </c>
      <c r="M34" s="183" t="str">
        <f>'Look Up'!$A$17&amp;$D34</f>
        <v>Radiology</v>
      </c>
      <c r="W34" s="494"/>
    </row>
    <row r="35" spans="1:23" s="493" customFormat="1" ht="13">
      <c r="A35" s="278"/>
      <c r="B35" s="270"/>
      <c r="C35" s="270"/>
      <c r="D35" s="8"/>
      <c r="E35" s="497"/>
      <c r="F35" s="498"/>
      <c r="G35" s="279"/>
      <c r="H35" s="482"/>
      <c r="I35" s="483"/>
      <c r="J35" s="558">
        <f>I35*H35*G35</f>
        <v>0</v>
      </c>
      <c r="K35" s="501">
        <f>'Set-up and other costs'!$B$18*J35</f>
        <v>0</v>
      </c>
      <c r="M35" s="183" t="str">
        <f>'Look Up'!$A$17&amp;$D35</f>
        <v>Radiology</v>
      </c>
      <c r="W35" s="494"/>
    </row>
    <row r="36" spans="1:23" s="493" customFormat="1" ht="13">
      <c r="A36" s="278"/>
      <c r="B36" s="270"/>
      <c r="C36" s="270"/>
      <c r="D36" s="8"/>
      <c r="E36" s="497"/>
      <c r="F36" s="498"/>
      <c r="G36" s="279"/>
      <c r="H36" s="482"/>
      <c r="I36" s="483"/>
      <c r="J36" s="558">
        <f>I36*H36*G36</f>
        <v>0</v>
      </c>
      <c r="K36" s="501">
        <f>'Set-up and other costs'!$B$18*J36</f>
        <v>0</v>
      </c>
      <c r="M36" s="183" t="str">
        <f>'Look Up'!$A$17&amp;$D36</f>
        <v>Radiology</v>
      </c>
      <c r="W36" s="494"/>
    </row>
    <row r="37" spans="1:23" s="493" customFormat="1" ht="13">
      <c r="A37" s="278"/>
      <c r="B37" s="270"/>
      <c r="C37" s="270"/>
      <c r="D37" s="8"/>
      <c r="E37" s="497"/>
      <c r="F37" s="498"/>
      <c r="G37" s="279"/>
      <c r="H37" s="482"/>
      <c r="I37" s="483"/>
      <c r="J37" s="558">
        <f>I37*H37*G37</f>
        <v>0</v>
      </c>
      <c r="K37" s="501">
        <f>'Set-up and other costs'!$B$18*J37</f>
        <v>0</v>
      </c>
      <c r="M37" s="183" t="str">
        <f>'Look Up'!$A$17&amp;$D37</f>
        <v>Radiology</v>
      </c>
      <c r="W37" s="494"/>
    </row>
    <row r="38" spans="1:23" s="493" customFormat="1" ht="13">
      <c r="A38" s="278"/>
      <c r="B38" s="270"/>
      <c r="C38" s="270"/>
      <c r="D38" s="8"/>
      <c r="E38" s="498"/>
      <c r="F38" s="498"/>
      <c r="G38" s="290"/>
      <c r="H38" s="3"/>
      <c r="I38" s="481"/>
      <c r="J38" s="558">
        <f>I38*H38*G38</f>
        <v>0</v>
      </c>
      <c r="K38" s="501">
        <f>'Set-up and other costs'!$B$18*J38</f>
        <v>0</v>
      </c>
      <c r="M38" s="183" t="str">
        <f>'Look Up'!$A$17&amp;$D38</f>
        <v>Radiology</v>
      </c>
      <c r="W38" s="494"/>
    </row>
    <row r="39" spans="1:23" s="493" customFormat="1" ht="13">
      <c r="A39" s="278"/>
      <c r="B39" s="270"/>
      <c r="C39" s="270"/>
      <c r="D39" s="8"/>
      <c r="E39" s="498"/>
      <c r="F39" s="498"/>
      <c r="G39" s="290"/>
      <c r="H39" s="3"/>
      <c r="I39" s="481"/>
      <c r="J39" s="558">
        <f>I39*H39*G39</f>
        <v>0</v>
      </c>
      <c r="K39" s="501">
        <f>'Set-up and other costs'!$B$18*J39</f>
        <v>0</v>
      </c>
      <c r="M39" s="183" t="str">
        <f>'Look Up'!$A$17&amp;$D39</f>
        <v>Radiology</v>
      </c>
      <c r="W39" s="494"/>
    </row>
    <row r="40" spans="1:23" s="493" customFormat="1" ht="13">
      <c r="A40" s="278"/>
      <c r="B40" s="270"/>
      <c r="C40" s="270"/>
      <c r="D40" s="8"/>
      <c r="E40" s="498"/>
      <c r="F40" s="498"/>
      <c r="G40" s="290"/>
      <c r="H40" s="3"/>
      <c r="I40" s="481"/>
      <c r="J40" s="558">
        <f>I40*H40*G40</f>
        <v>0</v>
      </c>
      <c r="K40" s="501">
        <f>'Set-up and other costs'!$B$18*J40</f>
        <v>0</v>
      </c>
      <c r="M40" s="183" t="str">
        <f>'Look Up'!$A$17&amp;$D40</f>
        <v>Radiology</v>
      </c>
      <c r="W40" s="494"/>
    </row>
    <row r="41" spans="1:23" s="493" customFormat="1" ht="13">
      <c r="A41" s="278"/>
      <c r="B41" s="270"/>
      <c r="C41" s="270"/>
      <c r="D41" s="8"/>
      <c r="E41" s="498"/>
      <c r="F41" s="498"/>
      <c r="G41" s="290"/>
      <c r="H41" s="3"/>
      <c r="I41" s="481"/>
      <c r="J41" s="558">
        <f>I41*H41*G41</f>
        <v>0</v>
      </c>
      <c r="K41" s="501">
        <f>'Set-up and other costs'!$B$18*J41</f>
        <v>0</v>
      </c>
      <c r="M41" s="183" t="str">
        <f>'Look Up'!$A$17&amp;$D41</f>
        <v>Radiology</v>
      </c>
      <c r="W41" s="494"/>
    </row>
    <row r="42" spans="1:23" s="493" customFormat="1" ht="13">
      <c r="A42" s="278"/>
      <c r="B42" s="270"/>
      <c r="C42" s="270"/>
      <c r="D42" s="8"/>
      <c r="E42" s="498"/>
      <c r="F42" s="498"/>
      <c r="G42" s="290"/>
      <c r="H42" s="3"/>
      <c r="I42" s="481"/>
      <c r="J42" s="558">
        <f>I42*H42*G42</f>
        <v>0</v>
      </c>
      <c r="K42" s="501">
        <f>'Set-up and other costs'!$B$18*J42</f>
        <v>0</v>
      </c>
      <c r="M42" s="183" t="str">
        <f>'Look Up'!$A$17&amp;$D42</f>
        <v>Radiology</v>
      </c>
      <c r="W42" s="494"/>
    </row>
    <row r="43" spans="1:23" s="493" customFormat="1" ht="18.75" customHeight="1">
      <c r="A43" s="499" t="s">
        <v>34</v>
      </c>
      <c r="B43" s="499"/>
      <c r="C43" s="499"/>
      <c r="D43" s="499"/>
      <c r="J43" s="559">
        <f>SUM(J34:J42)</f>
        <v>0</v>
      </c>
      <c r="K43" s="501">
        <f>'Set-up and other costs'!$B$18*J43</f>
        <v>0</v>
      </c>
      <c r="W43" s="494"/>
    </row>
    <row r="45" spans="1:8">
      <c r="A45" s="349" t="s">
        <v>50</v>
      </c>
      <c r="H45" s="500"/>
    </row>
  </sheetData>
  <sheetProtection algorithmName="SHA-512" hashValue="RqAtb/aWPInOVO4muqydqqWTtguu7gsg8X1VVJAr0ehUxOpAa2N0DICEkKIU0KDW+oeT1GTz93xMCZtRgRyufA==" saltValue="C2zLxDg1ZIH7aIi2bkdn5Q==" spinCount="100000" sheet="1" objects="1" scenarios="1"/>
  <dataValidations count="7">
    <dataValidation type="whole" operator="greaterThan" allowBlank="1" showInputMessage="1" showErrorMessage="1" sqref="N16:R16 N15:Q15 L15:L29 K17 H17:I17 F5:G20">
      <formula1>0</formula1>
    </dataValidation>
    <dataValidation type="list" allowBlank="1" showInputMessage="1" showErrorMessage="1" sqref="B5:C21 B23:C28 B34:C38 B43:C44">
      <formula1>$W$2:$W$3</formula1>
    </dataValidation>
    <dataValidation type="list" allowBlank="1" showInputMessage="1" showErrorMessage="1" sqref="D5:D16 D23:D29 D34:D42">
      <formula1>AcCord</formula1>
    </dataValidation>
    <dataValidation type="list" allowBlank="1" showInputMessage="1" showErrorMessage="1" sqref="D43:D44 D17:D21">
      <formula1>'[1]Look Up'!#REF!</formula1>
    </dataValidation>
    <dataValidation type="list" allowBlank="1" showInputMessage="1" showErrorMessage="1" sqref="D34:D42">
      <formula1>'Look Up'!A36:A40</formula1>
    </dataValidation>
    <dataValidation type="list" allowBlank="1" showInputMessage="1" showErrorMessage="1" sqref="D5:D16">
      <formula1>'Look Up'!A5:A9</formula1>
    </dataValidation>
    <dataValidation type="list" allowBlank="1" showInputMessage="1" showErrorMessage="1" sqref="D23:D29">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35"/>
  <sheetViews>
    <sheetView zoomScale="130" view="normal" workbookViewId="0">
      <selection pane="topLeft" activeCell="B21" sqref="B21"/>
    </sheetView>
  </sheetViews>
  <sheetFormatPr defaultColWidth="9.1796875" defaultRowHeight="12.5"/>
  <cols>
    <col min="1" max="1" width="66.7109375" style="805" bestFit="1" customWidth="1"/>
    <col min="2" max="5" width="14.41796875" style="805" customWidth="1"/>
    <col min="6" max="16384" width="9.140625" style="805" customWidth="1"/>
  </cols>
  <sheetData>
    <row r="1" spans="1:5" ht="54.75" customHeight="1" thickBot="1">
      <c r="A1" s="1064" t="s">
        <v>2446</v>
      </c>
      <c r="B1" s="1065"/>
      <c r="C1" s="1065"/>
      <c r="D1" s="1065"/>
      <c r="E1" s="1066"/>
    </row>
    <row r="2" spans="1:5" ht="131.25" customHeight="1">
      <c r="A2" s="818"/>
      <c r="B2" s="819" t="s">
        <v>2344</v>
      </c>
      <c r="C2" s="819" t="s">
        <v>2430</v>
      </c>
      <c r="D2" s="820" t="s">
        <v>2431</v>
      </c>
      <c r="E2" s="820" t="s">
        <v>2432</v>
      </c>
    </row>
    <row r="3" spans="1:5" ht="18.5">
      <c r="A3" s="806" t="s">
        <v>2433</v>
      </c>
      <c r="B3" s="807">
        <v>12.74</v>
      </c>
      <c r="C3" s="807">
        <v>1528.8000000000002</v>
      </c>
      <c r="D3" s="808">
        <v>152.88</v>
      </c>
      <c r="E3" s="808">
        <v>76.44</v>
      </c>
    </row>
    <row r="4" spans="1:5" ht="18.5">
      <c r="A4" s="806" t="s">
        <v>2434</v>
      </c>
      <c r="B4" s="807">
        <v>18.75</v>
      </c>
      <c r="C4" s="809"/>
      <c r="D4" s="808">
        <v>900</v>
      </c>
      <c r="E4" s="808">
        <v>450</v>
      </c>
    </row>
    <row r="5" spans="1:5" ht="18.5">
      <c r="A5" s="806" t="s">
        <v>2435</v>
      </c>
      <c r="B5" s="807">
        <v>5</v>
      </c>
      <c r="C5" s="809"/>
      <c r="D5" s="808">
        <v>160</v>
      </c>
      <c r="E5" s="808">
        <v>0</v>
      </c>
    </row>
    <row r="6" spans="1:5" ht="18.5">
      <c r="A6" s="806" t="s">
        <v>2436</v>
      </c>
      <c r="B6" s="807">
        <v>20</v>
      </c>
      <c r="C6" s="809"/>
      <c r="D6" s="808">
        <v>0</v>
      </c>
      <c r="E6" s="808">
        <v>320</v>
      </c>
    </row>
    <row r="7" spans="1:5" ht="18.5">
      <c r="A7" s="806" t="s">
        <v>2437</v>
      </c>
      <c r="B7" s="807">
        <v>20</v>
      </c>
      <c r="C7" s="809"/>
      <c r="D7" s="808">
        <v>0</v>
      </c>
      <c r="E7" s="808">
        <v>320</v>
      </c>
    </row>
    <row r="8" spans="1:5" ht="18.5">
      <c r="A8" s="806" t="s">
        <v>2438</v>
      </c>
      <c r="B8" s="807">
        <v>10</v>
      </c>
      <c r="C8" s="809"/>
      <c r="D8" s="808">
        <v>0</v>
      </c>
      <c r="E8" s="808">
        <v>160</v>
      </c>
    </row>
    <row r="9" spans="1:5" ht="18.5">
      <c r="A9" s="810"/>
      <c r="B9" s="811"/>
      <c r="C9" s="811"/>
      <c r="D9" s="811"/>
      <c r="E9" s="811"/>
    </row>
    <row r="10" spans="1:5" ht="18.5">
      <c r="A10" s="812" t="s">
        <v>2439</v>
      </c>
      <c r="B10" s="813"/>
      <c r="C10" s="813"/>
      <c r="D10" s="814"/>
      <c r="E10" s="814"/>
    </row>
    <row r="11" spans="1:5" ht="18.5">
      <c r="A11" s="815" t="s">
        <v>2440</v>
      </c>
      <c r="B11" s="816">
        <v>1758.1200000000003</v>
      </c>
      <c r="C11" s="813"/>
      <c r="D11" s="813"/>
      <c r="E11" s="817"/>
    </row>
    <row r="12" spans="1:5" ht="18.5">
      <c r="A12" s="815" t="s">
        <v>2441</v>
      </c>
      <c r="B12" s="816">
        <v>2310</v>
      </c>
      <c r="C12" s="814"/>
      <c r="D12" s="814"/>
      <c r="E12" s="817"/>
    </row>
    <row r="13" spans="1:5" ht="14.5">
      <c r="A13" s="810"/>
      <c r="B13" s="810"/>
      <c r="C13" s="810"/>
      <c r="D13" s="810"/>
      <c r="E13" s="810"/>
    </row>
    <row r="14" spans="1:5" ht="18.5">
      <c r="A14" s="1063" t="s">
        <v>2442</v>
      </c>
      <c r="B14" s="1063"/>
      <c r="C14" s="1063"/>
      <c r="D14" s="1063"/>
      <c r="E14" s="1063"/>
    </row>
    <row r="15" spans="1:5" ht="18.5">
      <c r="A15" s="1063" t="s">
        <v>2443</v>
      </c>
      <c r="B15" s="1063"/>
      <c r="C15" s="1063"/>
      <c r="D15" s="1063"/>
      <c r="E15" s="1063"/>
    </row>
    <row r="16" spans="1:5" ht="18.5">
      <c r="A16" s="1062" t="s">
        <v>2444</v>
      </c>
      <c r="B16" s="1062"/>
      <c r="C16" s="1062"/>
      <c r="D16" s="1062"/>
      <c r="E16" s="1062"/>
    </row>
    <row r="18" spans="1:21" ht="13">
      <c r="A18" s="822"/>
      <c r="B18" s="822"/>
      <c r="C18" s="822"/>
      <c r="D18" s="822"/>
      <c r="E18" s="822"/>
      <c r="F18" s="822"/>
      <c r="G18" s="822"/>
      <c r="H18" s="822"/>
      <c r="I18" s="822"/>
      <c r="J18" s="822"/>
      <c r="K18" s="822"/>
      <c r="L18" s="822"/>
      <c r="M18" s="822"/>
      <c r="N18" s="822"/>
      <c r="O18" s="822"/>
      <c r="P18" s="822"/>
      <c r="Q18" s="822"/>
      <c r="R18" s="822"/>
      <c r="S18" s="822"/>
      <c r="T18" s="822"/>
      <c r="U18" s="822"/>
    </row>
    <row r="19" spans="1:21" ht="13">
      <c r="A19" s="822"/>
      <c r="B19" s="822"/>
      <c r="C19" s="822"/>
      <c r="D19" s="822"/>
      <c r="E19" s="822"/>
      <c r="F19" s="822"/>
      <c r="G19" s="822"/>
      <c r="H19" s="822"/>
      <c r="I19" s="822"/>
      <c r="J19" s="822"/>
      <c r="K19" s="822"/>
      <c r="L19" s="822"/>
      <c r="M19" s="822"/>
      <c r="N19" s="822"/>
      <c r="O19" s="822"/>
      <c r="P19" s="822"/>
      <c r="Q19" s="822"/>
      <c r="R19" s="822"/>
      <c r="S19" s="822"/>
      <c r="T19" s="822"/>
      <c r="U19" s="822"/>
    </row>
    <row r="20" spans="1:21" ht="13">
      <c r="A20" s="822"/>
      <c r="B20" s="822"/>
      <c r="C20" s="822"/>
      <c r="D20" s="822"/>
      <c r="E20" s="822"/>
      <c r="F20" s="822"/>
      <c r="G20" s="822"/>
      <c r="H20" s="822"/>
      <c r="I20" s="822"/>
      <c r="J20" s="822"/>
      <c r="K20" s="822"/>
      <c r="L20" s="822"/>
      <c r="M20" s="822"/>
      <c r="N20" s="822"/>
      <c r="O20" s="822"/>
      <c r="P20" s="822"/>
      <c r="Q20" s="822"/>
      <c r="R20" s="822"/>
      <c r="S20" s="822"/>
      <c r="T20" s="822"/>
      <c r="U20" s="822"/>
    </row>
    <row r="21" spans="1:21" ht="13">
      <c r="A21" s="794" t="s">
        <v>2246</v>
      </c>
      <c r="B21" s="794">
        <v>1.0876</v>
      </c>
      <c r="C21" s="822"/>
      <c r="D21" s="822"/>
      <c r="E21" s="822"/>
      <c r="F21" s="822"/>
      <c r="G21" s="822"/>
      <c r="H21" s="822"/>
      <c r="I21" s="822"/>
      <c r="J21" s="822"/>
      <c r="K21" s="822"/>
      <c r="L21" s="822"/>
      <c r="M21" s="822"/>
      <c r="N21" s="822"/>
      <c r="O21" s="822"/>
      <c r="P21" s="822"/>
      <c r="Q21" s="822"/>
      <c r="R21" s="822"/>
      <c r="S21" s="822"/>
      <c r="T21" s="822"/>
      <c r="U21" s="822"/>
    </row>
    <row r="22" spans="1:21" ht="13">
      <c r="A22" s="794" t="s">
        <v>2247</v>
      </c>
      <c r="B22" s="794">
        <v>1</v>
      </c>
      <c r="C22" s="822"/>
      <c r="D22" s="822"/>
      <c r="E22" s="822"/>
      <c r="F22" s="822"/>
      <c r="G22" s="822"/>
      <c r="H22" s="822"/>
      <c r="I22" s="822"/>
      <c r="J22" s="822"/>
      <c r="K22" s="822"/>
      <c r="L22" s="822"/>
      <c r="M22" s="822"/>
      <c r="N22" s="822"/>
      <c r="O22" s="822"/>
      <c r="P22" s="822"/>
      <c r="Q22" s="822"/>
      <c r="R22" s="822"/>
      <c r="S22" s="822"/>
      <c r="T22" s="822"/>
      <c r="U22" s="822"/>
    </row>
    <row r="23" spans="1:21" ht="13">
      <c r="A23" s="794" t="s">
        <v>2248</v>
      </c>
      <c r="B23" s="794">
        <f>IF('Study Information &amp; rates'!B51="Yes",B21,B22)</f>
        <v>1</v>
      </c>
      <c r="C23" s="822"/>
      <c r="D23" s="822"/>
      <c r="E23" s="822"/>
      <c r="F23" s="822"/>
      <c r="G23" s="822"/>
      <c r="H23" s="822"/>
      <c r="I23" s="822"/>
      <c r="J23" s="822"/>
      <c r="K23" s="822"/>
      <c r="L23" s="822"/>
      <c r="M23" s="822"/>
      <c r="N23" s="822"/>
      <c r="O23" s="822"/>
      <c r="P23" s="822"/>
      <c r="Q23" s="822"/>
      <c r="R23" s="822"/>
      <c r="S23" s="822"/>
      <c r="T23" s="822"/>
      <c r="U23" s="822"/>
    </row>
    <row r="24" spans="1:21" ht="13.5" thickBot="1">
      <c r="A24" s="822"/>
      <c r="B24" s="822"/>
      <c r="C24" s="822"/>
      <c r="D24" s="822"/>
      <c r="E24" s="822"/>
      <c r="F24" s="822"/>
      <c r="G24" s="822"/>
      <c r="H24" s="822"/>
      <c r="I24" s="822"/>
      <c r="J24" s="822"/>
      <c r="K24" s="822"/>
      <c r="L24" s="822"/>
      <c r="M24" s="822"/>
      <c r="N24" s="822"/>
      <c r="O24" s="822"/>
      <c r="P24" s="822"/>
      <c r="Q24" s="822"/>
      <c r="R24" s="822"/>
      <c r="S24" s="822"/>
      <c r="T24" s="822"/>
      <c r="U24" s="822"/>
    </row>
    <row r="25" spans="1:21" ht="13.5" thickBot="1">
      <c r="A25" s="1060" t="s">
        <v>2332</v>
      </c>
      <c r="B25" s="1061"/>
      <c r="C25" s="822"/>
      <c r="D25" s="822"/>
      <c r="E25" s="822"/>
      <c r="F25" s="822"/>
      <c r="G25" s="822"/>
      <c r="H25" s="822"/>
      <c r="I25" s="822"/>
      <c r="J25" s="822"/>
      <c r="K25" s="822"/>
      <c r="L25" s="822"/>
      <c r="M25" s="822"/>
      <c r="N25" s="822"/>
      <c r="O25" s="822"/>
      <c r="P25" s="822"/>
      <c r="Q25" s="822"/>
      <c r="R25" s="822"/>
      <c r="S25" s="822"/>
      <c r="T25" s="822"/>
      <c r="U25" s="822"/>
    </row>
    <row r="26" spans="1:21" ht="13">
      <c r="A26" s="823" t="s">
        <v>2320</v>
      </c>
      <c r="B26" s="795">
        <v>20</v>
      </c>
      <c r="C26" s="822"/>
      <c r="D26" s="822"/>
      <c r="E26" s="822"/>
      <c r="F26" s="822"/>
      <c r="G26" s="822"/>
      <c r="H26" s="822"/>
      <c r="I26" s="822"/>
      <c r="J26" s="822"/>
      <c r="K26" s="822"/>
      <c r="L26" s="822"/>
      <c r="M26" s="822"/>
      <c r="N26" s="822"/>
      <c r="O26" s="822"/>
      <c r="P26" s="822"/>
      <c r="Q26" s="822"/>
      <c r="R26" s="822"/>
      <c r="S26" s="822"/>
      <c r="T26" s="822"/>
      <c r="U26" s="822"/>
    </row>
    <row r="27" spans="1:21" ht="13">
      <c r="A27" s="794" t="s">
        <v>2321</v>
      </c>
      <c r="B27" s="796">
        <v>150</v>
      </c>
      <c r="C27" s="822"/>
      <c r="D27" s="822"/>
      <c r="E27" s="822"/>
      <c r="F27" s="822"/>
      <c r="G27" s="822"/>
      <c r="H27" s="822"/>
      <c r="I27" s="822"/>
      <c r="J27" s="822"/>
      <c r="K27" s="822"/>
      <c r="L27" s="822"/>
      <c r="M27" s="822"/>
      <c r="N27" s="822"/>
      <c r="O27" s="822"/>
      <c r="P27" s="822"/>
      <c r="Q27" s="822"/>
      <c r="R27" s="822"/>
      <c r="S27" s="822"/>
      <c r="T27" s="822"/>
      <c r="U27" s="822"/>
    </row>
    <row r="28" spans="1:21" ht="13.5" thickBot="1">
      <c r="A28" s="824" t="s">
        <v>2322</v>
      </c>
      <c r="B28" s="797">
        <v>20</v>
      </c>
      <c r="C28" s="822"/>
      <c r="D28" s="822"/>
      <c r="E28" s="822"/>
      <c r="F28" s="822"/>
      <c r="G28" s="822"/>
      <c r="H28" s="822"/>
      <c r="I28" s="822"/>
      <c r="J28" s="822"/>
      <c r="K28" s="822"/>
      <c r="L28" s="822"/>
      <c r="M28" s="822"/>
      <c r="N28" s="822"/>
      <c r="O28" s="822"/>
      <c r="P28" s="822"/>
      <c r="Q28" s="822"/>
      <c r="R28" s="822"/>
      <c r="S28" s="822"/>
      <c r="T28" s="822"/>
      <c r="U28" s="822"/>
    </row>
    <row r="29" spans="1:21" ht="13.5" thickBot="1">
      <c r="A29" s="1060" t="s">
        <v>2333</v>
      </c>
      <c r="B29" s="1061"/>
      <c r="C29" s="822"/>
      <c r="D29" s="822"/>
      <c r="E29" s="822"/>
      <c r="F29" s="822"/>
      <c r="G29" s="822"/>
      <c r="H29" s="822"/>
      <c r="I29" s="822"/>
      <c r="J29" s="822"/>
      <c r="K29" s="822"/>
      <c r="L29" s="822"/>
      <c r="M29" s="822"/>
      <c r="N29" s="822"/>
      <c r="O29" s="822"/>
      <c r="P29" s="822"/>
      <c r="Q29" s="822"/>
      <c r="R29" s="822"/>
      <c r="S29" s="822"/>
      <c r="T29" s="822"/>
      <c r="U29" s="822"/>
    </row>
    <row r="30" spans="1:21" ht="13">
      <c r="A30" s="823" t="s">
        <v>2323</v>
      </c>
      <c r="B30" s="798" t="s">
        <v>2324</v>
      </c>
      <c r="C30" s="822"/>
      <c r="D30" s="822"/>
      <c r="E30" s="822"/>
      <c r="F30" s="822"/>
      <c r="G30" s="822"/>
      <c r="H30" s="822"/>
      <c r="I30" s="822"/>
      <c r="J30" s="822"/>
      <c r="K30" s="822"/>
      <c r="L30" s="822"/>
      <c r="M30" s="822"/>
      <c r="N30" s="822"/>
      <c r="O30" s="822"/>
      <c r="P30" s="822"/>
      <c r="Q30" s="822"/>
      <c r="R30" s="822"/>
      <c r="S30" s="822"/>
      <c r="T30" s="822"/>
      <c r="U30" s="822"/>
    </row>
    <row r="31" spans="1:21" ht="13">
      <c r="A31" s="794" t="s">
        <v>2326</v>
      </c>
      <c r="B31" s="799" t="s">
        <v>2325</v>
      </c>
      <c r="C31" s="822"/>
      <c r="D31" s="822"/>
      <c r="E31" s="822"/>
      <c r="F31" s="822"/>
      <c r="G31" s="822"/>
      <c r="H31" s="822"/>
      <c r="I31" s="822"/>
      <c r="J31" s="822"/>
      <c r="K31" s="822"/>
      <c r="L31" s="822"/>
      <c r="M31" s="822"/>
      <c r="N31" s="822"/>
      <c r="O31" s="822"/>
      <c r="P31" s="822"/>
      <c r="Q31" s="822"/>
      <c r="R31" s="822"/>
      <c r="S31" s="822"/>
      <c r="T31" s="822"/>
      <c r="U31" s="822"/>
    </row>
    <row r="32" spans="1:21" ht="13">
      <c r="A32" s="794" t="s">
        <v>2327</v>
      </c>
      <c r="B32" s="799" t="s">
        <v>2325</v>
      </c>
      <c r="C32" s="822" t="s">
        <v>2339</v>
      </c>
      <c r="D32" s="822"/>
      <c r="E32" s="822"/>
      <c r="F32" s="822"/>
      <c r="G32" s="822"/>
      <c r="H32" s="822"/>
      <c r="I32" s="822"/>
      <c r="J32" s="822"/>
      <c r="K32" s="822"/>
      <c r="L32" s="822"/>
      <c r="M32" s="822"/>
      <c r="N32" s="822"/>
      <c r="O32" s="822"/>
      <c r="P32" s="822"/>
      <c r="Q32" s="822"/>
      <c r="R32" s="822"/>
      <c r="S32" s="822"/>
      <c r="T32" s="822"/>
      <c r="U32" s="822"/>
    </row>
    <row r="33" spans="1:21" ht="13">
      <c r="A33" s="794" t="s">
        <v>2328</v>
      </c>
      <c r="B33" s="799" t="s">
        <v>2325</v>
      </c>
      <c r="C33" s="822" t="s">
        <v>2340</v>
      </c>
      <c r="D33" s="822"/>
      <c r="E33" s="822"/>
      <c r="F33" s="822"/>
      <c r="G33" s="822"/>
      <c r="H33" s="822"/>
      <c r="I33" s="822"/>
      <c r="J33" s="822"/>
      <c r="K33" s="822"/>
      <c r="L33" s="822"/>
      <c r="M33" s="822"/>
      <c r="N33" s="822"/>
      <c r="O33" s="822"/>
      <c r="P33" s="822"/>
      <c r="Q33" s="822"/>
      <c r="R33" s="822"/>
      <c r="S33" s="822"/>
      <c r="T33" s="822"/>
      <c r="U33" s="822"/>
    </row>
    <row r="34" spans="1:21" ht="13">
      <c r="A34" s="794" t="s">
        <v>2329</v>
      </c>
      <c r="B34" s="799" t="s">
        <v>2330</v>
      </c>
      <c r="C34" s="822"/>
      <c r="D34" s="822"/>
      <c r="E34" s="822"/>
      <c r="F34" s="822"/>
      <c r="G34" s="822"/>
      <c r="H34" s="822"/>
      <c r="I34" s="822"/>
      <c r="J34" s="822"/>
      <c r="K34" s="822"/>
      <c r="L34" s="822"/>
      <c r="M34" s="822"/>
      <c r="N34" s="822"/>
      <c r="O34" s="822"/>
      <c r="P34" s="822"/>
      <c r="Q34" s="822"/>
      <c r="R34" s="822"/>
      <c r="S34" s="822"/>
      <c r="T34" s="822"/>
      <c r="U34" s="822"/>
    </row>
    <row r="35" spans="1:21" ht="13">
      <c r="A35" s="794" t="s">
        <v>2331</v>
      </c>
      <c r="B35" s="796">
        <v>20</v>
      </c>
      <c r="C35" s="822"/>
      <c r="D35" s="822"/>
      <c r="E35" s="822"/>
      <c r="F35" s="822"/>
      <c r="G35" s="822"/>
      <c r="H35" s="822"/>
      <c r="I35" s="822"/>
      <c r="J35" s="822"/>
      <c r="K35" s="822"/>
      <c r="L35" s="822"/>
      <c r="M35" s="822"/>
      <c r="N35" s="822"/>
      <c r="O35" s="822"/>
      <c r="P35" s="822"/>
      <c r="Q35" s="822"/>
      <c r="R35" s="822"/>
      <c r="S35" s="822"/>
      <c r="T35" s="822"/>
      <c r="U35" s="822"/>
    </row>
  </sheetData>
  <sheetProtection password="9437" sheet="1" objects="1" scenarios="1"/>
  <mergeCells count="6">
    <mergeCell ref="A29:B29"/>
    <mergeCell ref="A16:E16"/>
    <mergeCell ref="A14:E14"/>
    <mergeCell ref="A15:E15"/>
    <mergeCell ref="A1:E1"/>
    <mergeCell ref="A25:B25"/>
  </mergeCells>
  <hyperlinks>
    <hyperlink ref="A14" r:id="rId1" display="https://www.nhsemployers.org/pay-pensions-and-reward/agenda-for-change/pay-scales/hourly"/>
    <hyperlink ref="A15" r:id="rId2" location="Remote_working_costs" display="https://www.nihr.ac.uk/documents/centre-for-engagement-and-dissemination-recognition-payments-for-public-contributors/24979#Remote_working_costs"/>
  </hyperlinks>
  <pageMargins left="0.7" right="0.7" top="0.75" bottom="0.75" header="0.3" footer="0.3"/>
  <headerFooter scaleWithDoc="1" alignWithMargins="0" differentFirst="0" differentOddEven="0"/>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tabColor rgb="FFFF0000"/>
  </sheetPr>
  <dimension ref="A1:V106"/>
  <sheetViews>
    <sheetView topLeftCell="A15" zoomScale="80" view="normal" tabSelected="1" workbookViewId="0">
      <selection pane="topLeft" activeCell="B129" sqref="B129"/>
    </sheetView>
  </sheetViews>
  <sheetFormatPr defaultColWidth="14.81640625" customHeight="true" defaultRowHeight="19.5"/>
  <cols>
    <col min="1" max="1" width="64.84765625" style="729" customWidth="1"/>
    <col min="2" max="2" width="57.27734375" style="709" customWidth="1"/>
    <col min="3" max="3" width="42.7109375" style="354" customWidth="1"/>
    <col min="4" max="4" width="28.27734375" style="353" customWidth="1"/>
    <col min="5" max="5" width="26.41796875" style="353" customWidth="1"/>
    <col min="6" max="7" width="14.84765625" style="353" customWidth="1"/>
    <col min="8" max="8" width="20.27734375" style="353" customWidth="1"/>
    <col min="9" max="9" width="14.84765625" style="353" customWidth="1"/>
    <col min="10" max="10" width="35" style="353" customWidth="1"/>
    <col min="11" max="20" width="14.84765625" style="353" customWidth="1"/>
    <col min="21" max="21" width="0" style="353" hidden="1" customWidth="1"/>
    <col min="22" max="22" width="14.84765625" style="353" hidden="1" customWidth="1"/>
    <col min="23" max="16384" width="14.84765625" style="353" customWidth="1"/>
  </cols>
  <sheetData>
    <row r="1" spans="1:3" ht="14.5">
      <c r="A1" s="990"/>
      <c r="B1" s="991"/>
      <c r="C1" s="802"/>
    </row>
    <row r="2" spans="1:3" ht="14.5">
      <c r="A2" s="990"/>
      <c r="B2" s="991"/>
      <c r="C2" s="802"/>
    </row>
    <row r="3" spans="1:3" ht="16.5" customHeight="1">
      <c r="A3" s="1030" t="s">
        <v>2185</v>
      </c>
      <c r="B3" s="1030"/>
      <c r="C3" s="821" t="s">
        <v>2502</v>
      </c>
    </row>
    <row r="4" spans="1:3" ht="16.5" customHeight="1">
      <c r="A4" s="1031" t="s">
        <v>2186</v>
      </c>
      <c r="B4" s="1031"/>
      <c r="C4" s="353"/>
    </row>
    <row r="5" spans="2:3" ht="2.25" customHeight="1">
      <c r="B5" s="729"/>
      <c r="C5" s="353"/>
    </row>
    <row r="6" spans="1:2" ht="22.5" customHeight="1">
      <c r="A6" s="1034" t="s">
        <v>2263</v>
      </c>
      <c r="B6" s="1034"/>
    </row>
    <row r="7" spans="1:4" ht="28.5" customHeight="1">
      <c r="A7" s="715" t="s">
        <v>10</v>
      </c>
      <c r="B7" s="708"/>
      <c r="C7" s="709"/>
      <c r="D7" s="709"/>
    </row>
    <row r="8" spans="1:4" ht="15" customHeight="1">
      <c r="A8" s="715" t="s">
        <v>1987</v>
      </c>
      <c r="B8" s="707"/>
      <c r="C8" s="709"/>
      <c r="D8" s="709"/>
    </row>
    <row r="9" spans="1:4" ht="15" customHeight="1">
      <c r="A9" s="715" t="s">
        <v>2445</v>
      </c>
      <c r="B9" s="708"/>
      <c r="C9" s="709"/>
      <c r="D9" s="709"/>
    </row>
    <row r="10" spans="1:4" ht="29" customHeight="1">
      <c r="A10" s="715" t="s">
        <v>2467</v>
      </c>
      <c r="B10" s="708"/>
      <c r="C10" s="716"/>
      <c r="D10" s="709"/>
    </row>
    <row r="11" spans="1:4" ht="25" customHeight="1">
      <c r="A11" s="715" t="s">
        <v>2468</v>
      </c>
      <c r="B11" s="707"/>
      <c r="C11" s="716"/>
      <c r="D11" s="709"/>
    </row>
    <row r="12" spans="1:22" ht="15" customHeight="1">
      <c r="A12" s="715" t="s">
        <v>2453</v>
      </c>
      <c r="B12" s="710" t="s">
        <v>2454</v>
      </c>
      <c r="C12" s="709"/>
      <c r="D12" s="709"/>
      <c r="V12" s="353" t="s">
        <v>1912</v>
      </c>
    </row>
    <row r="13" spans="1:22" ht="15" customHeight="1">
      <c r="A13" s="715" t="s">
        <v>2252</v>
      </c>
      <c r="B13" s="710" t="s">
        <v>2253</v>
      </c>
      <c r="C13" s="709"/>
      <c r="D13" s="709"/>
      <c r="V13" s="353" t="s">
        <v>1913</v>
      </c>
    </row>
    <row r="14" spans="1:4" ht="15" customHeight="1">
      <c r="A14" s="715" t="s">
        <v>2259</v>
      </c>
      <c r="B14" s="710" t="s">
        <v>2272</v>
      </c>
      <c r="C14" s="709"/>
      <c r="D14" s="709"/>
    </row>
    <row r="15" spans="1:4" ht="30.75" customHeight="1">
      <c r="A15" s="715" t="s">
        <v>2292</v>
      </c>
      <c r="B15" s="707"/>
      <c r="C15" s="709"/>
      <c r="D15" s="709"/>
    </row>
    <row r="16" spans="1:4" ht="15" customHeight="1">
      <c r="A16" s="715" t="s">
        <v>2024</v>
      </c>
      <c r="B16" s="708"/>
      <c r="C16" s="709"/>
      <c r="D16" s="709"/>
    </row>
    <row r="17" spans="1:4" ht="27.75" customHeight="1">
      <c r="A17" s="715" t="s">
        <v>2187</v>
      </c>
      <c r="B17" s="708"/>
      <c r="C17" s="709"/>
      <c r="D17" s="709"/>
    </row>
    <row r="18" spans="1:11" ht="27" customHeight="1">
      <c r="A18" s="715" t="s">
        <v>2260</v>
      </c>
      <c r="B18" s="707"/>
      <c r="C18" s="709"/>
      <c r="D18" s="709"/>
      <c r="K18" s="355"/>
    </row>
    <row r="19" spans="1:11" ht="16.5" customHeight="1">
      <c r="A19" s="717" t="s">
        <v>2261</v>
      </c>
      <c r="B19" s="708"/>
      <c r="C19" s="709"/>
      <c r="D19" s="709"/>
      <c r="K19" s="355"/>
    </row>
    <row r="20" spans="1:4" ht="15" customHeight="1">
      <c r="A20" s="715" t="s">
        <v>2273</v>
      </c>
      <c r="B20" s="711"/>
      <c r="C20" s="709"/>
      <c r="D20" s="709"/>
    </row>
    <row r="21" spans="1:4" ht="15" customHeight="1">
      <c r="A21" s="715" t="s">
        <v>2251</v>
      </c>
      <c r="B21" s="711"/>
      <c r="C21" s="709"/>
      <c r="D21" s="709"/>
    </row>
    <row r="22" spans="1:4" ht="15" customHeight="1">
      <c r="A22" s="715" t="s">
        <v>2189</v>
      </c>
      <c r="B22" s="710"/>
      <c r="C22" s="709"/>
      <c r="D22" s="709"/>
    </row>
    <row r="23" spans="1:4" ht="15" customHeight="1">
      <c r="A23" s="715" t="s">
        <v>2190</v>
      </c>
      <c r="B23" s="718"/>
      <c r="C23" s="709"/>
      <c r="D23" s="709"/>
    </row>
    <row r="24" spans="1:4" ht="15" customHeight="1">
      <c r="A24" s="715" t="s">
        <v>2188</v>
      </c>
      <c r="B24" s="712">
        <f>DATE(YEAR(B22),MONTH(B22)+B23,DAY(B22))</f>
        <v>0</v>
      </c>
      <c r="C24" s="709"/>
      <c r="D24" s="709"/>
    </row>
    <row r="25" spans="1:4" ht="15" customHeight="1">
      <c r="A25" s="715" t="s">
        <v>2262</v>
      </c>
      <c r="B25" s="707"/>
      <c r="C25" s="709"/>
      <c r="D25" s="709"/>
    </row>
    <row r="26" spans="1:4" ht="10.5" customHeight="1">
      <c r="A26" s="719"/>
      <c r="C26" s="709"/>
      <c r="D26" s="709"/>
    </row>
    <row r="27" spans="1:8" ht="13">
      <c r="A27" s="720" t="s">
        <v>1900</v>
      </c>
      <c r="B27" s="707"/>
      <c r="C27" s="716" t="s">
        <v>2424</v>
      </c>
      <c r="D27" s="1013" t="s">
        <v>2472</v>
      </c>
      <c r="E27" s="1014"/>
      <c r="F27" s="1014"/>
      <c r="G27" s="1014"/>
      <c r="H27" s="1014"/>
    </row>
    <row r="28" spans="1:11" ht="13">
      <c r="A28" s="720" t="s">
        <v>1960</v>
      </c>
      <c r="B28" s="707"/>
      <c r="C28" s="716" t="s">
        <v>2424</v>
      </c>
      <c r="D28" s="709"/>
      <c r="K28" s="355"/>
    </row>
    <row r="29" spans="1:4" ht="13">
      <c r="A29" s="720" t="s">
        <v>1961</v>
      </c>
      <c r="B29" s="721"/>
      <c r="C29" s="716" t="s">
        <v>2424</v>
      </c>
      <c r="D29" s="709"/>
    </row>
    <row r="30" spans="1:4" ht="13">
      <c r="A30" s="720" t="s">
        <v>1962</v>
      </c>
      <c r="B30" s="721"/>
      <c r="C30" s="716" t="s">
        <v>2424</v>
      </c>
      <c r="D30" s="709"/>
    </row>
    <row r="31" spans="1:4" ht="13">
      <c r="A31" s="720" t="s">
        <v>1963</v>
      </c>
      <c r="B31" s="721"/>
      <c r="C31" s="716" t="s">
        <v>2424</v>
      </c>
      <c r="D31" s="709"/>
    </row>
    <row r="32" spans="1:11" ht="13">
      <c r="A32" s="720" t="s">
        <v>1901</v>
      </c>
      <c r="B32" s="722">
        <f>SUM(B27:B31)</f>
        <v>0</v>
      </c>
      <c r="C32" s="709"/>
      <c r="D32" s="709"/>
      <c r="K32" s="355"/>
    </row>
    <row r="33" spans="1:4" customHeight="1">
      <c r="A33" s="717" t="s">
        <v>2306</v>
      </c>
      <c r="B33" s="708"/>
      <c r="C33" s="709"/>
      <c r="D33" s="709"/>
    </row>
    <row r="34" spans="1:4" customHeight="1">
      <c r="A34" s="984" t="s">
        <v>2307</v>
      </c>
      <c r="B34" s="985"/>
      <c r="C34" s="345"/>
      <c r="D34" s="709"/>
    </row>
    <row r="35" spans="1:4" customHeight="1" thickBot="1">
      <c r="A35" s="986"/>
      <c r="B35" s="987"/>
      <c r="C35" s="709"/>
      <c r="D35" s="709"/>
    </row>
    <row r="36" spans="1:4" ht="75" customHeight="1" thickBot="1">
      <c r="A36" s="989" t="s">
        <v>2474</v>
      </c>
      <c r="B36" s="988" t="s">
        <v>2478</v>
      </c>
      <c r="C36" s="1015" t="s">
        <v>2457</v>
      </c>
      <c r="D36" s="709"/>
    </row>
    <row r="37" spans="1:4" customHeight="1" hidden="1">
      <c r="A37" s="709"/>
      <c r="C37" s="709"/>
      <c r="D37" s="709"/>
    </row>
    <row r="38" spans="1:4" customHeight="1" hidden="1">
      <c r="A38" s="709"/>
      <c r="C38" s="709"/>
      <c r="D38" s="709"/>
    </row>
    <row r="39" spans="1:4" customHeight="1" hidden="1">
      <c r="A39" s="709"/>
      <c r="C39" s="709"/>
      <c r="D39" s="709"/>
    </row>
    <row r="40" spans="1:4" customHeight="1">
      <c r="A40" s="709"/>
      <c r="C40" s="709"/>
      <c r="D40" s="709"/>
    </row>
    <row r="41" spans="1:4" customHeight="1">
      <c r="A41" s="1032" t="s">
        <v>2258</v>
      </c>
      <c r="B41" s="1032"/>
      <c r="C41" s="709"/>
      <c r="D41" s="709"/>
    </row>
    <row r="42" spans="1:4" customHeight="1">
      <c r="A42" s="723" t="s">
        <v>2119</v>
      </c>
      <c r="B42" s="713" t="s">
        <v>2166</v>
      </c>
      <c r="C42" s="709"/>
      <c r="D42" s="709"/>
    </row>
    <row r="43" spans="1:4" customHeight="1">
      <c r="A43" s="723" t="s">
        <v>1911</v>
      </c>
      <c r="B43" s="714" t="s">
        <v>1913</v>
      </c>
      <c r="C43" s="716" t="s">
        <v>2473</v>
      </c>
      <c r="D43" s="709"/>
    </row>
    <row r="44" spans="1:4" customHeight="1">
      <c r="A44" s="723" t="s">
        <v>2191</v>
      </c>
      <c r="B44" s="714" t="s">
        <v>1913</v>
      </c>
      <c r="C44" s="716" t="s">
        <v>2194</v>
      </c>
      <c r="D44" s="709"/>
    </row>
    <row r="45" spans="1:4" customHeight="1">
      <c r="A45" s="1026" t="s">
        <v>2456</v>
      </c>
      <c r="B45" s="1001" t="s">
        <v>1913</v>
      </c>
      <c r="C45" s="709"/>
      <c r="D45" s="709"/>
    </row>
    <row r="46" spans="1:4" customHeight="1">
      <c r="A46" s="1027" t="s">
        <v>2499</v>
      </c>
      <c r="B46" s="1001"/>
      <c r="C46" s="716" t="s">
        <v>2500</v>
      </c>
      <c r="D46" s="709"/>
    </row>
    <row r="47" spans="1:4" customHeight="1">
      <c r="A47" s="724"/>
      <c r="C47" s="709"/>
      <c r="D47" s="709"/>
    </row>
    <row r="48" spans="1:4" customHeight="1">
      <c r="A48" s="725" t="s">
        <v>2192</v>
      </c>
      <c r="B48" s="726"/>
      <c r="C48" s="709"/>
      <c r="D48" s="709"/>
    </row>
    <row r="49" spans="1:4" customHeight="1">
      <c r="A49" s="725" t="s">
        <v>2291</v>
      </c>
      <c r="B49" s="726"/>
      <c r="C49" s="709"/>
      <c r="D49" s="709"/>
    </row>
    <row r="50" spans="1:4" customHeight="1">
      <c r="A50" s="727" t="s">
        <v>2193</v>
      </c>
      <c r="B50" s="728"/>
      <c r="C50" s="709"/>
      <c r="D50" s="709"/>
    </row>
    <row r="51" spans="1:1" customHeight="1">
      <c r="A51" s="730"/>
    </row>
    <row r="52" spans="1:2" s="352" customFormat="1" customHeight="1" hidden="1">
      <c r="A52" s="731"/>
      <c r="B52" s="731"/>
    </row>
    <row r="53" spans="1:2" s="352" customFormat="1" customHeight="1" hidden="1">
      <c r="A53" s="731"/>
      <c r="B53" s="731"/>
    </row>
    <row r="54" spans="1:20" s="352" customFormat="1" customHeight="1" hidden="1">
      <c r="A54" s="731"/>
      <c r="B54" s="731"/>
      <c r="L54" s="359"/>
      <c r="M54" s="359"/>
      <c r="N54" s="359"/>
      <c r="O54" s="359"/>
      <c r="P54" s="359"/>
      <c r="Q54" s="359"/>
      <c r="R54" s="353"/>
      <c r="S54" s="353"/>
      <c r="T54" s="353"/>
    </row>
    <row r="55" spans="1:20" s="352" customFormat="1" customHeight="1" hidden="1">
      <c r="A55" s="731"/>
      <c r="B55" s="731"/>
      <c r="L55" s="350"/>
      <c r="M55" s="360"/>
      <c r="N55" s="360"/>
      <c r="O55" s="350"/>
      <c r="P55" s="360"/>
      <c r="Q55" s="361"/>
      <c r="R55" s="353"/>
      <c r="S55" s="353"/>
      <c r="T55" s="353"/>
    </row>
    <row r="56" spans="1:20" s="352" customFormat="1" customHeight="1" hidden="1">
      <c r="A56" s="731"/>
      <c r="B56" s="731"/>
      <c r="L56" s="351"/>
      <c r="M56" s="362"/>
      <c r="N56" s="362"/>
      <c r="O56" s="351"/>
      <c r="P56" s="362"/>
      <c r="Q56" s="363"/>
      <c r="R56" s="353"/>
      <c r="S56" s="353"/>
      <c r="T56" s="353"/>
    </row>
    <row r="57" spans="1:20" s="352" customFormat="1" customHeight="1" hidden="1">
      <c r="A57" s="731"/>
      <c r="B57" s="731"/>
      <c r="L57" s="366"/>
      <c r="M57" s="366"/>
      <c r="N57" s="366"/>
      <c r="O57" s="366"/>
      <c r="P57" s="366"/>
      <c r="Q57" s="353"/>
      <c r="R57" s="353"/>
      <c r="S57" s="353"/>
      <c r="T57" s="353"/>
    </row>
    <row r="58" spans="1:20" s="352" customFormat="1" customHeight="1" hidden="1">
      <c r="A58" s="731"/>
      <c r="B58" s="731"/>
      <c r="L58" s="362"/>
      <c r="M58" s="362"/>
      <c r="N58" s="351"/>
      <c r="O58" s="362"/>
      <c r="P58" s="363"/>
      <c r="Q58" s="353"/>
      <c r="R58" s="353"/>
      <c r="S58" s="353"/>
      <c r="T58" s="353"/>
    </row>
    <row r="59" spans="1:20" s="352" customFormat="1" customHeight="1" hidden="1">
      <c r="A59" s="731"/>
      <c r="B59" s="731"/>
      <c r="L59" s="362"/>
      <c r="M59" s="362"/>
      <c r="N59" s="351"/>
      <c r="O59" s="362"/>
      <c r="P59" s="363"/>
      <c r="Q59" s="353"/>
      <c r="R59" s="353"/>
      <c r="S59" s="353"/>
      <c r="T59" s="353"/>
    </row>
    <row r="60" spans="1:2" s="352" customFormat="1" customHeight="1" hidden="1">
      <c r="A60" s="731"/>
      <c r="B60" s="731"/>
    </row>
    <row r="61" spans="1:2" s="352" customFormat="1" customHeight="1" hidden="1">
      <c r="A61" s="731"/>
      <c r="B61" s="731"/>
    </row>
    <row r="62" spans="1:2" s="352" customFormat="1" customHeight="1" hidden="1">
      <c r="A62" s="731"/>
      <c r="B62" s="731"/>
    </row>
    <row r="63" spans="1:20" s="352" customFormat="1" customHeight="1" hidden="1">
      <c r="A63" s="731"/>
      <c r="B63" s="731"/>
      <c r="L63" s="370"/>
      <c r="M63" s="370"/>
      <c r="N63" s="371"/>
      <c r="O63" s="370"/>
      <c r="P63" s="372"/>
      <c r="Q63" s="353"/>
      <c r="R63" s="353"/>
      <c r="S63" s="353"/>
      <c r="T63" s="353"/>
    </row>
    <row r="64" spans="1:18" s="352" customFormat="1" customHeight="1" hidden="1">
      <c r="A64" s="731"/>
      <c r="B64" s="731"/>
      <c r="L64" s="353"/>
      <c r="M64" s="353"/>
      <c r="N64" s="353"/>
      <c r="O64" s="353"/>
      <c r="P64" s="353"/>
      <c r="Q64" s="353"/>
      <c r="R64" s="353"/>
    </row>
    <row r="65" spans="1:2" s="352" customFormat="1" customHeight="1" hidden="1">
      <c r="A65" s="731"/>
      <c r="B65" s="731"/>
    </row>
    <row r="66" spans="1:2" s="352" customFormat="1" customHeight="1" hidden="1">
      <c r="A66" s="731"/>
      <c r="B66" s="731"/>
    </row>
    <row r="67" spans="1:2" s="352" customFormat="1" customHeight="1" hidden="1">
      <c r="A67" s="731"/>
      <c r="B67" s="731"/>
    </row>
    <row r="68" spans="1:2" s="352" customFormat="1" customHeight="1" hidden="1">
      <c r="A68" s="731"/>
      <c r="B68" s="731"/>
    </row>
    <row r="69" spans="1:2" s="352" customFormat="1" customHeight="1" hidden="1">
      <c r="A69" s="731"/>
      <c r="B69" s="731"/>
    </row>
    <row r="70" spans="1:2" s="352" customFormat="1" customHeight="1" hidden="1">
      <c r="A70" s="731"/>
      <c r="B70" s="731"/>
    </row>
    <row r="71" spans="1:1" customHeight="1" hidden="1">
      <c r="A71"/>
    </row>
    <row r="72" spans="1:2" s="352" customFormat="1" ht="44.25" customHeight="1" hidden="1">
      <c r="A72" s="731"/>
      <c r="B72" s="731"/>
    </row>
    <row r="73" spans="1:2" s="352" customFormat="1" customHeight="1" hidden="1">
      <c r="A73" s="731"/>
      <c r="B73" s="731"/>
    </row>
    <row r="74" spans="1:2" s="352" customFormat="1" customHeight="1" hidden="1">
      <c r="A74" s="731"/>
      <c r="B74" s="731"/>
    </row>
    <row r="75" spans="1:2" s="352" customFormat="1" ht="39.75" customHeight="1" hidden="1">
      <c r="A75" s="731"/>
      <c r="B75" s="731"/>
    </row>
    <row r="76" spans="1:2" s="352" customFormat="1" ht="42" customHeight="1" hidden="1">
      <c r="A76" s="731"/>
      <c r="B76" s="731"/>
    </row>
    <row r="77" spans="1:2" s="352" customFormat="1" customHeight="1" hidden="1">
      <c r="A77" s="731"/>
      <c r="B77" s="731"/>
    </row>
    <row r="78" spans="1:1" customHeight="1" hidden="1">
      <c r="A78"/>
    </row>
    <row r="79" spans="1:1" customHeight="1" hidden="1">
      <c r="A79"/>
    </row>
    <row r="80" spans="1:1" customHeight="1" hidden="1">
      <c r="A80"/>
    </row>
    <row r="81" spans="1:11" customHeight="1" hidden="1">
      <c r="A81" s="754" t="s">
        <v>40</v>
      </c>
      <c r="B81" s="755"/>
      <c r="C81" s="755"/>
      <c r="D81" s="756"/>
      <c r="E81" s="352"/>
      <c r="F81" s="352"/>
      <c r="G81" s="358"/>
      <c r="H81" s="352"/>
      <c r="I81" s="352"/>
      <c r="J81" s="352"/>
      <c r="K81" s="352"/>
    </row>
    <row r="82" spans="1:11" customHeight="1" hidden="1">
      <c r="A82" s="732" t="s">
        <v>41</v>
      </c>
      <c r="B82" s="751">
        <f>B18</f>
        <v>0</v>
      </c>
      <c r="C82" s="752"/>
      <c r="D82" s="753"/>
      <c r="E82" s="352"/>
      <c r="G82" s="357"/>
      <c r="H82" s="352"/>
      <c r="I82" s="352"/>
      <c r="J82" s="352"/>
      <c r="K82" s="359"/>
    </row>
    <row r="83" spans="1:11" customHeight="1" hidden="1">
      <c r="A83" s="732" t="s">
        <v>42</v>
      </c>
      <c r="B83" s="751"/>
      <c r="C83" s="752"/>
      <c r="D83" s="753"/>
      <c r="E83" s="352"/>
      <c r="H83" s="352"/>
      <c r="I83" s="352"/>
      <c r="J83" s="352"/>
      <c r="K83" s="360"/>
    </row>
    <row r="84" spans="1:11" customHeight="1" hidden="1">
      <c r="A84" s="732" t="s">
        <v>2152</v>
      </c>
      <c r="B84" s="751"/>
      <c r="C84" s="752"/>
      <c r="D84" s="753"/>
      <c r="E84" s="352"/>
      <c r="H84" s="352"/>
      <c r="I84" s="352"/>
      <c r="J84" s="352"/>
      <c r="K84" s="362"/>
    </row>
    <row r="85" spans="1:11" customHeight="1" hidden="1">
      <c r="A85" s="732" t="s">
        <v>43</v>
      </c>
      <c r="B85" s="751"/>
      <c r="C85" s="752"/>
      <c r="D85" s="753"/>
      <c r="E85" s="352"/>
      <c r="F85" s="364"/>
      <c r="G85" s="364"/>
      <c r="I85" s="365"/>
      <c r="J85" s="366"/>
      <c r="K85" s="366"/>
    </row>
    <row r="86" spans="1:11" customHeight="1" hidden="1">
      <c r="A86" s="732" t="s">
        <v>44</v>
      </c>
      <c r="B86" s="751"/>
      <c r="C86" s="752"/>
      <c r="D86" s="753"/>
      <c r="E86" s="352"/>
      <c r="F86" s="364"/>
      <c r="G86" s="364"/>
      <c r="I86" s="367"/>
      <c r="J86" s="362"/>
      <c r="K86" s="351"/>
    </row>
    <row r="87" spans="1:11" customHeight="1" hidden="1">
      <c r="A87" s="732" t="s">
        <v>59</v>
      </c>
      <c r="B87" s="751"/>
      <c r="C87" s="752"/>
      <c r="D87" s="753"/>
      <c r="E87" s="368"/>
      <c r="F87" s="364"/>
      <c r="G87" s="364"/>
      <c r="H87" s="369"/>
      <c r="I87" s="366"/>
      <c r="J87" s="362"/>
      <c r="K87" s="351"/>
    </row>
    <row r="88" spans="1:11" customHeight="1" hidden="1">
      <c r="A88" s="733" t="s">
        <v>82</v>
      </c>
      <c r="B88" s="734"/>
      <c r="C88" s="292" t="s">
        <v>2183</v>
      </c>
      <c r="D88" s="292"/>
      <c r="E88" s="292"/>
      <c r="F88" s="292"/>
      <c r="G88" s="292"/>
      <c r="H88" s="292"/>
      <c r="I88" s="293"/>
      <c r="J88" s="1033" t="s">
        <v>2130</v>
      </c>
      <c r="K88" s="352"/>
    </row>
    <row r="89" spans="1:11" customHeight="1" hidden="1">
      <c r="A89" s="733" t="s">
        <v>2128</v>
      </c>
      <c r="B89" s="734"/>
      <c r="C89" s="292" t="s">
        <v>2181</v>
      </c>
      <c r="D89" s="292"/>
      <c r="E89" s="292"/>
      <c r="F89" s="292"/>
      <c r="G89" s="292"/>
      <c r="H89" s="292"/>
      <c r="I89" s="293"/>
      <c r="J89" s="1033"/>
      <c r="K89" s="352"/>
    </row>
    <row r="90" spans="1:11" customHeight="1" hidden="1">
      <c r="A90" s="735" t="s">
        <v>2129</v>
      </c>
      <c r="B90" s="736"/>
      <c r="C90" s="375" t="s">
        <v>2184</v>
      </c>
      <c r="D90" s="375"/>
      <c r="E90" s="375"/>
      <c r="F90" s="375"/>
      <c r="G90" s="375"/>
      <c r="H90" s="375"/>
      <c r="I90" s="376"/>
      <c r="J90" s="1033"/>
      <c r="K90" s="352"/>
    </row>
    <row r="91" spans="1:11" customHeight="1" hidden="1">
      <c r="A91" s="737"/>
      <c r="B91" s="738"/>
      <c r="C91" s="356"/>
      <c r="D91" s="352"/>
      <c r="E91" s="352"/>
      <c r="F91" s="364"/>
      <c r="G91" s="364"/>
      <c r="H91" s="364"/>
      <c r="I91" s="362"/>
      <c r="J91" s="370"/>
      <c r="K91" s="371"/>
    </row>
    <row r="92" spans="1:9" customHeight="1" hidden="1">
      <c r="A92" s="737"/>
      <c r="B92" s="738"/>
      <c r="C92" s="356"/>
      <c r="D92" s="352"/>
      <c r="E92" s="352"/>
      <c r="H92" s="364"/>
      <c r="I92" s="362"/>
    </row>
    <row r="93" spans="1:11" customHeight="1" hidden="1" thickBot="1">
      <c r="A93" s="737"/>
      <c r="B93" s="738"/>
      <c r="C93" s="356"/>
      <c r="D93" s="352"/>
      <c r="E93" s="352"/>
      <c r="F93" s="352"/>
      <c r="G93" s="352"/>
      <c r="H93" s="364"/>
      <c r="I93" s="370"/>
      <c r="J93" s="352"/>
      <c r="K93" s="352"/>
    </row>
    <row r="94" spans="1:11" customHeight="1" hidden="1">
      <c r="A94" s="739" t="s">
        <v>2120</v>
      </c>
      <c r="B94" s="740"/>
      <c r="C94" s="377"/>
      <c r="D94" s="378"/>
      <c r="E94" s="378" t="s">
        <v>2142</v>
      </c>
      <c r="F94" s="379" t="s">
        <v>2182</v>
      </c>
      <c r="G94" s="352"/>
      <c r="J94" s="352"/>
      <c r="K94" s="352"/>
    </row>
    <row r="95" spans="1:11" customHeight="1" hidden="1">
      <c r="A95" s="741">
        <v>1</v>
      </c>
      <c r="B95" s="742" t="s">
        <v>2121</v>
      </c>
      <c r="C95" s="380">
        <v>10000</v>
      </c>
      <c r="D95" s="381" t="s">
        <v>2124</v>
      </c>
      <c r="E95" s="382">
        <v>72.49</v>
      </c>
      <c r="F95" s="379">
        <v>62.72</v>
      </c>
      <c r="G95" s="352"/>
      <c r="H95" s="352"/>
      <c r="I95" s="352"/>
      <c r="J95" s="352"/>
      <c r="K95" s="352"/>
    </row>
    <row r="96" spans="1:11" customHeight="1" hidden="1">
      <c r="A96" s="741">
        <v>2</v>
      </c>
      <c r="B96" s="742" t="s">
        <v>2122</v>
      </c>
      <c r="C96" s="380">
        <v>10000</v>
      </c>
      <c r="D96" s="381" t="s">
        <v>2125</v>
      </c>
      <c r="E96" s="382">
        <v>253.7</v>
      </c>
      <c r="F96" s="379">
        <v>219.51</v>
      </c>
      <c r="G96" s="352"/>
      <c r="H96" s="352"/>
      <c r="I96" s="352"/>
      <c r="J96" s="352"/>
      <c r="K96" s="352"/>
    </row>
    <row r="97" spans="1:11" customHeight="1" hidden="1" thickBot="1">
      <c r="A97" s="743">
        <v>3</v>
      </c>
      <c r="B97" s="744" t="s">
        <v>2123</v>
      </c>
      <c r="C97" s="383"/>
      <c r="D97" s="384" t="s">
        <v>2126</v>
      </c>
      <c r="E97" s="385">
        <v>797.35</v>
      </c>
      <c r="F97" s="379">
        <v>689.89</v>
      </c>
      <c r="G97" s="352"/>
      <c r="H97" s="352"/>
      <c r="I97" s="352"/>
      <c r="J97" s="352"/>
      <c r="K97" s="352"/>
    </row>
    <row r="98" spans="1:11" customHeight="1" hidden="1">
      <c r="A98" s="737"/>
      <c r="B98" s="738"/>
      <c r="C98" s="356"/>
      <c r="D98" s="352"/>
      <c r="E98" s="352"/>
      <c r="F98" s="352"/>
      <c r="G98" s="352"/>
      <c r="H98" s="352"/>
      <c r="I98" s="352"/>
      <c r="J98" s="352"/>
      <c r="K98" s="352"/>
    </row>
    <row r="99" spans="1:5" customHeight="1" hidden="1">
      <c r="A99" s="745"/>
      <c r="B99" s="746" t="s">
        <v>2497</v>
      </c>
      <c r="E99" s="821"/>
    </row>
    <row r="100" spans="1:11" ht="90" customHeight="1" hidden="1">
      <c r="A100" s="747" t="s">
        <v>12</v>
      </c>
      <c r="B100" s="748" t="s">
        <v>2498</v>
      </c>
      <c r="C100" s="386" t="s">
        <v>2293</v>
      </c>
      <c r="D100" s="387" t="s">
        <v>2459</v>
      </c>
      <c r="E100" s="998" t="s">
        <v>2461</v>
      </c>
      <c r="F100" s="386" t="s">
        <v>2460</v>
      </c>
      <c r="G100" s="373"/>
      <c r="H100" s="352"/>
      <c r="I100" s="352"/>
      <c r="J100" s="352"/>
      <c r="K100" s="352"/>
    </row>
    <row r="101" spans="1:11" customHeight="1" hidden="1">
      <c r="A101" s="747" t="s">
        <v>7</v>
      </c>
      <c r="B101" s="749" t="str">
        <f>FIXED(B102/60)</f>
        <v>1.43</v>
      </c>
      <c r="C101" s="388" t="str">
        <f>FIXED(C102/60)</f>
        <v>0.64</v>
      </c>
      <c r="D101" s="388" t="str">
        <f>FIXED(D102/60)</f>
        <v>0.48</v>
      </c>
      <c r="E101" s="999" t="str">
        <f>FIXED(E102/60)</f>
        <v>0.57</v>
      </c>
      <c r="F101" s="388" t="str">
        <f>FIXED(F102/60)</f>
        <v>0.39</v>
      </c>
      <c r="G101" s="373"/>
      <c r="H101" s="352"/>
      <c r="I101" s="352"/>
      <c r="J101" s="352"/>
      <c r="K101" s="352"/>
    </row>
    <row r="102" spans="1:11" s="222" customFormat="1" customHeight="1" hidden="1">
      <c r="A102" s="994" t="s">
        <v>6</v>
      </c>
      <c r="B102" s="995">
        <v>85.93</v>
      </c>
      <c r="C102" s="996">
        <v>38.47</v>
      </c>
      <c r="D102" s="996">
        <v>28.95</v>
      </c>
      <c r="E102" s="996">
        <v>34.11</v>
      </c>
      <c r="F102" s="996">
        <v>23.37</v>
      </c>
      <c r="G102" s="997"/>
      <c r="H102" s="309"/>
      <c r="I102" s="309"/>
      <c r="J102" s="309"/>
      <c r="K102" s="309"/>
    </row>
    <row r="103" spans="1:11" customHeight="1" hidden="1">
      <c r="A103" s="750" t="s">
        <v>13</v>
      </c>
      <c r="B103" s="749" t="str">
        <f>FIXED((B101*0.287)+B101)</f>
        <v>1.84</v>
      </c>
      <c r="C103" s="388" t="str">
        <f>FIXED((C101*0.287)+C101)</f>
        <v>0.82</v>
      </c>
      <c r="D103" s="388" t="str">
        <f>FIXED((D101*0.287)+D101)</f>
        <v>0.62</v>
      </c>
      <c r="E103" s="999" t="str">
        <f>FIXED((E101*0.287)+E101)</f>
        <v>0.73</v>
      </c>
      <c r="F103" s="388" t="str">
        <f>FIXED((F101*0.287)+F101)</f>
        <v>0.50</v>
      </c>
      <c r="G103" s="373"/>
      <c r="H103" s="352"/>
      <c r="I103" s="352"/>
      <c r="J103" s="352"/>
      <c r="K103" s="352"/>
    </row>
    <row r="104" spans="1:11" customHeight="1" hidden="1">
      <c r="A104" s="750" t="s">
        <v>14</v>
      </c>
      <c r="B104" s="749" t="str">
        <f>FIXED((B102*0.287)+B102)</f>
        <v>110.59</v>
      </c>
      <c r="C104" s="388" t="str">
        <f>FIXED((C102*0.287)+C102)</f>
        <v>49.51</v>
      </c>
      <c r="D104" s="388" t="str">
        <f>FIXED((D102*0.287)+D102)</f>
        <v>37.26</v>
      </c>
      <c r="E104" s="999" t="str">
        <f>FIXED((E102*0.287)+E102)</f>
        <v>43.90</v>
      </c>
      <c r="F104" s="388" t="str">
        <f>FIXED((F102*0.287)+F102)</f>
        <v>30.08</v>
      </c>
      <c r="G104" s="374" t="s">
        <v>2503</v>
      </c>
      <c r="H104" s="358"/>
      <c r="I104" s="358"/>
      <c r="J104" s="358"/>
      <c r="K104" s="358"/>
    </row>
    <row r="105" spans="1:11" customHeight="1" hidden="1">
      <c r="A105" s="737"/>
      <c r="B105" s="738"/>
      <c r="C105" s="356"/>
      <c r="D105" s="352"/>
      <c r="E105" s="352"/>
      <c r="F105" s="352"/>
      <c r="G105" s="352"/>
      <c r="H105" s="352"/>
      <c r="I105" s="352"/>
      <c r="J105" s="352"/>
      <c r="K105" s="352"/>
    </row>
    <row r="106" spans="1:1" customHeight="1" hidden="1">
      <c r="A106"/>
    </row>
  </sheetData>
  <mergeCells count="5">
    <mergeCell ref="A3:B3"/>
    <mergeCell ref="A4:B4"/>
    <mergeCell ref="A41:B41"/>
    <mergeCell ref="J88:J90"/>
    <mergeCell ref="A6:B6"/>
  </mergeCells>
  <conditionalFormatting sqref="B88:B90">
    <cfRule type="cellIs" dxfId="60" operator="equal" priority="1">
      <formula>"Yes"</formula>
    </cfRule>
  </conditionalFormatting>
  <dataValidations count="7">
    <dataValidation type="list" allowBlank="1" showInputMessage="1" showErrorMessage="1" sqref="B25">
      <formula1>Emily</formula1>
    </dataValidation>
    <dataValidation type="list" allowBlank="1" showInputMessage="1" showErrorMessage="1" sqref="B15">
      <formula1>"Full, EOI or Outline, Full 1 Stage        "</formula1>
    </dataValidation>
    <dataValidation type="list" allowBlank="1" showInputMessage="1" showErrorMessage="1" sqref="B44">
      <formula1>"Yes,No"</formula1>
    </dataValidation>
    <dataValidation type="list" allowBlank="1" showInputMessage="1" showErrorMessage="1" sqref="B88:B90">
      <formula1>$V$12:$V$19</formula1>
    </dataValidation>
    <dataValidation type="list" allowBlank="1" showInputMessage="1" showErrorMessage="1" sqref="B43">
      <formula1>$V$12:$V$13</formula1>
    </dataValidation>
    <dataValidation type="list" allowBlank="1" showInputMessage="1" showErrorMessage="1" sqref="B19 B33 B45:B46">
      <formula1>'Look Up'!$A$33:$A$34</formula1>
    </dataValidation>
    <dataValidation type="list" allowBlank="1" showInputMessage="1" showErrorMessage="1" sqref="B42">
      <formula1>'Look Up'!$A$35:$A$40</formula1>
    </dataValidation>
  </dataValidations>
  <hyperlinks>
    <hyperlink ref="A19" r:id="rId1" display="Is the funder a member of Association of Medical Research Charities (AMRC) "/>
    <hyperlink ref="B36" r:id="rId2" display="https://www.nihr.ac.uk/documents/online-soecat-guidance/30396"/>
  </hyperlinks>
  <pageMargins left="0.70866141732283472" right="0.70866141732283472" top="0.74803149606299213" bottom="0.74803149606299213" header="0.31496062992125984" footer="0.31496062992125984"/>
  <pageSetup paperSize="9" scale="70" orientation="landscape"/>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6">
    <tabColor rgb="FFFF0000"/>
  </sheetPr>
  <dimension ref="A1:K129"/>
  <sheetViews>
    <sheetView zoomScale="90" view="normal" workbookViewId="0">
      <selection pane="topLeft" activeCell="F5" sqref="F5"/>
    </sheetView>
  </sheetViews>
  <sheetFormatPr defaultColWidth="9.1796875" defaultRowHeight="13"/>
  <cols>
    <col min="1" max="1" width="51.7109375" style="825" customWidth="1"/>
    <col min="2" max="2" width="18" style="5" customWidth="1"/>
    <col min="3" max="3" width="16" style="5" customWidth="1"/>
    <col min="4" max="4" width="49.84765625" style="5" customWidth="1"/>
    <col min="5" max="5" width="13.27734375" style="5" customWidth="1"/>
    <col min="6" max="6" width="14.7109375" style="5" customWidth="1"/>
    <col min="7" max="16384" width="9.140625" style="5" customWidth="1"/>
  </cols>
  <sheetData>
    <row r="1" spans="1:2" ht="12.75" customHeight="1">
      <c r="A1" s="830" t="s">
        <v>26</v>
      </c>
      <c r="B1" s="21"/>
    </row>
    <row r="2" ht="12.75" customHeight="1"/>
    <row r="3" spans="1:4" ht="27" customHeight="1">
      <c r="A3" s="960" t="s">
        <v>24</v>
      </c>
      <c r="B3" s="960" t="s">
        <v>1974</v>
      </c>
      <c r="C3" s="961" t="s">
        <v>25</v>
      </c>
      <c r="D3" s="962" t="s">
        <v>2450</v>
      </c>
    </row>
    <row r="4" spans="1:4" ht="87" customHeight="1">
      <c r="A4" s="963" t="s">
        <v>2448</v>
      </c>
      <c r="B4" s="8" t="s">
        <v>2012</v>
      </c>
      <c r="C4" s="792">
        <f>IF('R&amp;D Overheads data'!B2&lt;5000,500,0)</f>
        <v>500</v>
      </c>
      <c r="D4" s="1012" t="s">
        <v>2496</v>
      </c>
    </row>
    <row r="5" spans="1:4">
      <c r="A5" s="963" t="str">
        <f>'Total Summary and Budget'!A35</f>
        <v>Sponsorship Fee or R&amp;D management fee, as applicable</v>
      </c>
      <c r="B5" s="8" t="s">
        <v>2012</v>
      </c>
      <c r="C5" s="983">
        <f>B35</f>
        <v>0</v>
      </c>
      <c r="D5" s="1025"/>
    </row>
    <row r="6" spans="1:4" ht="55" customHeight="1">
      <c r="A6" s="963" t="s">
        <v>2487</v>
      </c>
      <c r="B6" s="8" t="s">
        <v>2012</v>
      </c>
      <c r="C6" s="324">
        <f>B129</f>
        <v>0</v>
      </c>
      <c r="D6" s="1024" t="s">
        <v>2494</v>
      </c>
    </row>
    <row r="7" spans="1:4">
      <c r="A7" s="963" t="str">
        <f>'Total Summary and Budget'!A43</f>
        <v>Other institutions cost</v>
      </c>
      <c r="B7" s="8" t="s">
        <v>2012</v>
      </c>
      <c r="C7" s="784">
        <f>SUM('UHS Individual cost'!B75:B102)</f>
        <v>0</v>
      </c>
      <c r="D7" s="497"/>
    </row>
    <row r="8" spans="1:4">
      <c r="A8" s="706"/>
      <c r="B8" s="8"/>
      <c r="C8" s="967"/>
      <c r="D8" s="497"/>
    </row>
    <row r="9" spans="1:4">
      <c r="A9" s="706"/>
      <c r="B9" s="8"/>
      <c r="C9" s="967"/>
      <c r="D9" s="497"/>
    </row>
    <row r="10" spans="3:4">
      <c r="C10" s="793">
        <f>SUM(C4:C9)</f>
        <v>500</v>
      </c>
      <c r="D10" s="497"/>
    </row>
    <row r="11" spans="2:3">
      <c r="B11" s="280"/>
      <c r="C11" s="282"/>
    </row>
    <row r="12" spans="1:1" hidden="1">
      <c r="A12"/>
    </row>
    <row r="13" spans="1:1" hidden="1">
      <c r="A13"/>
    </row>
    <row r="14" spans="1:1" hidden="1">
      <c r="A14"/>
    </row>
    <row r="15" spans="1:1" hidden="1">
      <c r="A15"/>
    </row>
    <row r="16" spans="1:2" hidden="1">
      <c r="A16" s="826" t="s">
        <v>2246</v>
      </c>
      <c r="B16" s="794">
        <v>1.0876</v>
      </c>
    </row>
    <row r="17" spans="1:2" hidden="1">
      <c r="A17" s="826" t="s">
        <v>2247</v>
      </c>
      <c r="B17" s="794">
        <v>1</v>
      </c>
    </row>
    <row r="18" spans="1:2" hidden="1">
      <c r="A18" s="826" t="s">
        <v>2248</v>
      </c>
      <c r="B18" s="794">
        <f>IF('Study Information &amp; rates'!B44="Yes",B16,B17)</f>
        <v>1</v>
      </c>
    </row>
    <row r="19" spans="1:1" ht="13.5" hidden="1" thickBot="1">
      <c r="A19"/>
    </row>
    <row r="20" spans="1:2" ht="13.5" hidden="1" thickBot="1">
      <c r="A20" s="1067" t="s">
        <v>2332</v>
      </c>
      <c r="B20" s="1068"/>
    </row>
    <row r="21" spans="1:2" hidden="1">
      <c r="A21" s="827" t="s">
        <v>2320</v>
      </c>
      <c r="B21" s="795">
        <v>20</v>
      </c>
    </row>
    <row r="22" spans="1:2" hidden="1">
      <c r="A22" s="826" t="s">
        <v>2321</v>
      </c>
      <c r="B22" s="796">
        <v>150</v>
      </c>
    </row>
    <row r="23" spans="1:2" ht="13.5" hidden="1" thickBot="1">
      <c r="A23" s="828" t="s">
        <v>2322</v>
      </c>
      <c r="B23" s="797">
        <v>20</v>
      </c>
    </row>
    <row r="24" spans="1:2" ht="13.5" hidden="1" thickBot="1">
      <c r="A24" s="1067" t="s">
        <v>2333</v>
      </c>
      <c r="B24" s="1068"/>
    </row>
    <row r="25" spans="1:2" hidden="1">
      <c r="A25" s="827" t="s">
        <v>2323</v>
      </c>
      <c r="B25" s="798" t="s">
        <v>2324</v>
      </c>
    </row>
    <row r="26" spans="1:2" hidden="1">
      <c r="A26" s="826" t="s">
        <v>2326</v>
      </c>
      <c r="B26" s="799" t="s">
        <v>2325</v>
      </c>
    </row>
    <row r="27" spans="1:3" hidden="1">
      <c r="A27" s="826" t="s">
        <v>2327</v>
      </c>
      <c r="B27" s="799" t="s">
        <v>2325</v>
      </c>
      <c r="C27" s="5" t="s">
        <v>2339</v>
      </c>
    </row>
    <row r="28" spans="1:3" hidden="1">
      <c r="A28" s="826" t="s">
        <v>2328</v>
      </c>
      <c r="B28" s="799" t="s">
        <v>2325</v>
      </c>
      <c r="C28" s="5" t="s">
        <v>2340</v>
      </c>
    </row>
    <row r="29" spans="1:2" hidden="1">
      <c r="A29" s="826" t="s">
        <v>2329</v>
      </c>
      <c r="B29" s="799" t="s">
        <v>2330</v>
      </c>
    </row>
    <row r="30" spans="1:2" hidden="1">
      <c r="A30" s="826" t="s">
        <v>2331</v>
      </c>
      <c r="B30" s="796">
        <v>20</v>
      </c>
    </row>
    <row r="31" spans="1:1" hidden="1">
      <c r="A31"/>
    </row>
    <row r="33" spans="1:2" ht="31.5" customHeight="1">
      <c r="A33" s="1080" t="s">
        <v>2483</v>
      </c>
      <c r="B33" s="1080"/>
    </row>
    <row r="34" spans="1:2" ht="88.5" customHeight="1" thickBot="1">
      <c r="A34" s="1079" t="s">
        <v>2484</v>
      </c>
      <c r="B34" s="1079"/>
    </row>
    <row r="35" spans="1:11" ht="42.5" thickBot="1">
      <c r="A35" s="964" t="s">
        <v>2485</v>
      </c>
      <c r="B35" s="1019">
        <f>B127+B128</f>
        <v>0</v>
      </c>
      <c r="C35" s="800"/>
      <c r="D35" s="1010" t="s">
        <v>2486</v>
      </c>
      <c r="E35" s="1010"/>
      <c r="F35" s="1011"/>
      <c r="G35" s="1011"/>
      <c r="H35" s="1011"/>
      <c r="I35" s="1011"/>
      <c r="J35" s="1009"/>
      <c r="K35" s="1009"/>
    </row>
    <row r="36" spans="1:5" ht="21">
      <c r="A36" s="829"/>
      <c r="B36" s="801"/>
      <c r="C36" s="800"/>
      <c r="D36" s="800"/>
      <c r="E36" s="800"/>
    </row>
    <row r="37" spans="1:5" ht="21" hidden="1">
      <c r="A37" s="965" t="s">
        <v>2341</v>
      </c>
      <c r="B37" s="801"/>
      <c r="C37" s="800"/>
      <c r="D37" s="800"/>
      <c r="E37" s="800"/>
    </row>
    <row r="38" spans="1:5" ht="29" hidden="1">
      <c r="A38" s="966" t="s">
        <v>2342</v>
      </c>
      <c r="B38" s="801"/>
      <c r="C38" s="800"/>
      <c r="D38" s="800"/>
      <c r="E38" s="800"/>
    </row>
    <row r="39" spans="1:5" ht="21" hidden="1">
      <c r="A39" s="966"/>
      <c r="B39" s="801"/>
      <c r="C39" s="800"/>
      <c r="D39" s="800"/>
      <c r="E39" s="800"/>
    </row>
    <row r="40" spans="1:5" ht="29" hidden="1">
      <c r="A40" s="966" t="s">
        <v>2343</v>
      </c>
      <c r="B40" s="801"/>
      <c r="C40" s="800"/>
      <c r="D40" s="800"/>
      <c r="E40" s="800"/>
    </row>
    <row r="41" spans="1:6" ht="15" hidden="1" thickBot="1">
      <c r="A41" s="968"/>
      <c r="B41" s="969"/>
      <c r="C41" s="969"/>
      <c r="D41" s="969"/>
      <c r="E41" s="969"/>
      <c r="F41" s="493"/>
    </row>
    <row r="42" spans="1:6" ht="15" hidden="1" thickBot="1">
      <c r="A42" s="970" t="s">
        <v>24</v>
      </c>
      <c r="B42" s="1069" t="s">
        <v>2344</v>
      </c>
      <c r="C42" s="971"/>
      <c r="D42" s="971" t="s">
        <v>2345</v>
      </c>
      <c r="E42" s="971" t="s">
        <v>2346</v>
      </c>
      <c r="F42" s="972" t="s">
        <v>2450</v>
      </c>
    </row>
    <row r="43" spans="1:6" ht="15" hidden="1" thickBot="1">
      <c r="A43" s="1070" t="s">
        <v>2347</v>
      </c>
      <c r="B43" s="1071"/>
      <c r="C43" s="1071"/>
      <c r="D43" s="1071"/>
      <c r="E43" s="1072"/>
      <c r="F43" s="973"/>
    </row>
    <row r="44" spans="1:6" ht="58" hidden="1">
      <c r="A44" s="974" t="s">
        <v>2348</v>
      </c>
      <c r="B44" s="1073">
        <v>3035.5769230769229</v>
      </c>
      <c r="C44" s="1074"/>
      <c r="D44" s="1078" t="s">
        <v>2349</v>
      </c>
      <c r="E44" s="975" t="s">
        <v>2350</v>
      </c>
      <c r="F44" s="976"/>
    </row>
    <row r="45" spans="1:6" ht="14.5" hidden="1">
      <c r="A45" s="974" t="s">
        <v>2351</v>
      </c>
      <c r="B45" s="1075"/>
      <c r="C45" s="1076"/>
      <c r="D45" s="974"/>
      <c r="E45" s="975" t="s">
        <v>2352</v>
      </c>
      <c r="F45" s="977"/>
    </row>
    <row r="46" spans="1:6" ht="15" hidden="1" thickBot="1">
      <c r="A46" s="978"/>
      <c r="B46" s="1077"/>
      <c r="C46" s="982"/>
      <c r="D46" s="978"/>
      <c r="E46" s="979"/>
      <c r="F46" s="980"/>
    </row>
    <row r="47" spans="1:6" ht="58" hidden="1">
      <c r="A47" s="974" t="s">
        <v>2353</v>
      </c>
      <c r="B47" s="1073">
        <v>1517.7884615384614</v>
      </c>
      <c r="C47" s="1074"/>
      <c r="D47" s="1078" t="s">
        <v>2349</v>
      </c>
      <c r="E47" s="975" t="s">
        <v>2350</v>
      </c>
      <c r="F47" s="976"/>
    </row>
    <row r="48" spans="1:6" ht="14.5" hidden="1">
      <c r="A48" s="974" t="s">
        <v>2354</v>
      </c>
      <c r="B48" s="1075"/>
      <c r="C48" s="1076"/>
      <c r="D48" s="974"/>
      <c r="E48" s="975" t="s">
        <v>2355</v>
      </c>
      <c r="F48" s="977"/>
    </row>
    <row r="49" spans="1:6" ht="15" hidden="1" thickBot="1">
      <c r="A49" s="978"/>
      <c r="B49" s="1077"/>
      <c r="C49" s="982"/>
      <c r="D49" s="978"/>
      <c r="E49" s="979"/>
      <c r="F49" s="980"/>
    </row>
    <row r="50" spans="1:6" ht="43.5" hidden="1">
      <c r="A50" s="1078" t="s">
        <v>2356</v>
      </c>
      <c r="B50" s="1073">
        <v>288.83076923076919</v>
      </c>
      <c r="C50" s="1074"/>
      <c r="D50" s="1078" t="s">
        <v>2357</v>
      </c>
      <c r="E50" s="975" t="s">
        <v>2358</v>
      </c>
      <c r="F50" s="976"/>
    </row>
    <row r="51" spans="1:6" ht="15" hidden="1" thickBot="1">
      <c r="A51" s="978"/>
      <c r="B51" s="1077"/>
      <c r="C51" s="982"/>
      <c r="D51" s="978"/>
      <c r="E51" s="981" t="s">
        <v>2359</v>
      </c>
      <c r="F51" s="980"/>
    </row>
    <row r="52" spans="1:6" ht="43.5" hidden="1">
      <c r="A52" s="1078" t="s">
        <v>2360</v>
      </c>
      <c r="B52" s="1073">
        <v>1837.6153846153843</v>
      </c>
      <c r="C52" s="1074"/>
      <c r="D52" s="1078" t="s">
        <v>2361</v>
      </c>
      <c r="E52" s="975" t="s">
        <v>2362</v>
      </c>
      <c r="F52" s="976"/>
    </row>
    <row r="53" spans="1:6" ht="14.5" hidden="1">
      <c r="A53" s="974"/>
      <c r="B53" s="1075"/>
      <c r="C53" s="1076"/>
      <c r="D53" s="974"/>
      <c r="E53" s="975" t="s">
        <v>2363</v>
      </c>
      <c r="F53" s="977"/>
    </row>
    <row r="54" spans="1:6" ht="15" hidden="1" thickBot="1">
      <c r="A54" s="978"/>
      <c r="B54" s="1077"/>
      <c r="C54" s="982"/>
      <c r="D54" s="978"/>
      <c r="E54" s="981"/>
      <c r="F54" s="980"/>
    </row>
    <row r="55" spans="1:6" ht="29" hidden="1">
      <c r="A55" s="1078" t="s">
        <v>2364</v>
      </c>
      <c r="B55" s="1073">
        <v>1837.6153846153843</v>
      </c>
      <c r="C55" s="1074"/>
      <c r="D55" s="1078" t="s">
        <v>2365</v>
      </c>
      <c r="E55" s="975" t="s">
        <v>2366</v>
      </c>
      <c r="F55" s="976"/>
    </row>
    <row r="56" spans="1:6" ht="14.5" hidden="1">
      <c r="A56" s="974"/>
      <c r="B56" s="1075"/>
      <c r="C56" s="1076"/>
      <c r="D56" s="974"/>
      <c r="E56" s="975" t="s">
        <v>2363</v>
      </c>
      <c r="F56" s="977"/>
    </row>
    <row r="57" spans="1:6" ht="15" hidden="1" thickBot="1">
      <c r="A57" s="978"/>
      <c r="B57" s="1077"/>
      <c r="C57" s="982"/>
      <c r="D57" s="978"/>
      <c r="E57" s="981"/>
      <c r="F57" s="980"/>
    </row>
    <row r="58" spans="1:6" ht="29" hidden="1">
      <c r="A58" s="1078" t="s">
        <v>2367</v>
      </c>
      <c r="B58" s="1073">
        <v>433.24615384615379</v>
      </c>
      <c r="C58" s="1074"/>
      <c r="D58" s="1078" t="s">
        <v>2368</v>
      </c>
      <c r="E58" s="975" t="s">
        <v>2369</v>
      </c>
      <c r="F58" s="976"/>
    </row>
    <row r="59" spans="1:6" ht="14.5" hidden="1">
      <c r="A59" s="974"/>
      <c r="B59" s="1075"/>
      <c r="C59" s="1076"/>
      <c r="D59" s="974"/>
      <c r="E59" s="975" t="s">
        <v>2370</v>
      </c>
      <c r="F59" s="977"/>
    </row>
    <row r="60" spans="1:6" ht="15" hidden="1" thickBot="1">
      <c r="A60" s="978"/>
      <c r="B60" s="1077"/>
      <c r="C60" s="982"/>
      <c r="D60" s="978"/>
      <c r="E60" s="981" t="s">
        <v>2210</v>
      </c>
      <c r="F60" s="980"/>
    </row>
    <row r="61" spans="1:6" ht="15" hidden="1" thickBot="1">
      <c r="A61" s="1070" t="s">
        <v>2371</v>
      </c>
      <c r="B61" s="1071"/>
      <c r="C61" s="1071"/>
      <c r="D61" s="1071"/>
      <c r="E61" s="1072"/>
      <c r="F61" s="973"/>
    </row>
    <row r="62" spans="1:6" ht="43.5" hidden="1">
      <c r="A62" s="1078" t="s">
        <v>2372</v>
      </c>
      <c r="B62" s="1073">
        <v>49.003076923076918</v>
      </c>
      <c r="C62" s="1074"/>
      <c r="D62" s="1078" t="s">
        <v>2357</v>
      </c>
      <c r="E62" s="975" t="s">
        <v>2373</v>
      </c>
      <c r="F62" s="976"/>
    </row>
    <row r="63" spans="1:6" ht="14.5" hidden="1">
      <c r="A63" s="974"/>
      <c r="B63" s="1075"/>
      <c r="C63" s="1076"/>
      <c r="D63" s="974"/>
      <c r="E63" s="975" t="s">
        <v>2374</v>
      </c>
      <c r="F63" s="977"/>
    </row>
    <row r="64" spans="1:6" ht="15" hidden="1" thickBot="1">
      <c r="A64" s="978"/>
      <c r="B64" s="1077"/>
      <c r="C64" s="982"/>
      <c r="D64" s="978"/>
      <c r="E64" s="981"/>
      <c r="F64" s="980"/>
    </row>
    <row r="65" spans="1:6" ht="43.5" hidden="1">
      <c r="A65" s="1078" t="s">
        <v>2375</v>
      </c>
      <c r="B65" s="1073">
        <v>24.501538461538459</v>
      </c>
      <c r="C65" s="1074"/>
      <c r="D65" s="1078" t="s">
        <v>2357</v>
      </c>
      <c r="E65" s="975" t="s">
        <v>2373</v>
      </c>
      <c r="F65" s="976"/>
    </row>
    <row r="66" spans="1:6" ht="14.5" hidden="1">
      <c r="A66" s="974"/>
      <c r="B66" s="1075"/>
      <c r="C66" s="1076"/>
      <c r="D66" s="974"/>
      <c r="E66" s="975" t="s">
        <v>2376</v>
      </c>
      <c r="F66" s="977"/>
    </row>
    <row r="67" spans="1:6" ht="15" hidden="1" thickBot="1">
      <c r="A67" s="978"/>
      <c r="B67" s="1077"/>
      <c r="C67" s="982"/>
      <c r="D67" s="978"/>
      <c r="E67" s="981"/>
      <c r="F67" s="980"/>
    </row>
    <row r="68" spans="1:6" ht="43.5" hidden="1">
      <c r="A68" s="1078" t="s">
        <v>2377</v>
      </c>
      <c r="B68" s="1073">
        <v>183.76153846153844</v>
      </c>
      <c r="C68" s="1074"/>
      <c r="D68" s="1078" t="s">
        <v>2357</v>
      </c>
      <c r="E68" s="975" t="s">
        <v>2373</v>
      </c>
      <c r="F68" s="976"/>
    </row>
    <row r="69" spans="1:6" ht="29" hidden="1">
      <c r="A69" s="974"/>
      <c r="B69" s="1075"/>
      <c r="C69" s="1076"/>
      <c r="D69" s="974"/>
      <c r="E69" s="975" t="s">
        <v>2378</v>
      </c>
      <c r="F69" s="977"/>
    </row>
    <row r="70" spans="1:6" ht="15" hidden="1" thickBot="1">
      <c r="A70" s="978"/>
      <c r="B70" s="1077"/>
      <c r="C70" s="982"/>
      <c r="D70" s="978"/>
      <c r="E70" s="981"/>
      <c r="F70" s="980"/>
    </row>
    <row r="71" spans="1:6" ht="43.5" hidden="1">
      <c r="A71" s="1078" t="s">
        <v>2379</v>
      </c>
      <c r="B71" s="1073">
        <v>91.880769230769218</v>
      </c>
      <c r="C71" s="1074"/>
      <c r="D71" s="1078" t="s">
        <v>2357</v>
      </c>
      <c r="E71" s="975" t="s">
        <v>2373</v>
      </c>
      <c r="F71" s="976"/>
    </row>
    <row r="72" spans="1:6" ht="29" hidden="1">
      <c r="A72" s="974"/>
      <c r="B72" s="1075"/>
      <c r="C72" s="1076"/>
      <c r="D72" s="974"/>
      <c r="E72" s="975" t="s">
        <v>2380</v>
      </c>
      <c r="F72" s="977"/>
    </row>
    <row r="73" spans="1:6" ht="15" hidden="1" thickBot="1">
      <c r="A73" s="978"/>
      <c r="B73" s="1077"/>
      <c r="C73" s="982"/>
      <c r="D73" s="978"/>
      <c r="E73" s="981"/>
      <c r="F73" s="980"/>
    </row>
    <row r="74" spans="1:6" ht="43.5" hidden="1">
      <c r="A74" s="1078" t="s">
        <v>2381</v>
      </c>
      <c r="B74" s="1073">
        <v>91.880769230769218</v>
      </c>
      <c r="C74" s="1074"/>
      <c r="D74" s="1078" t="s">
        <v>2382</v>
      </c>
      <c r="E74" s="975" t="s">
        <v>2373</v>
      </c>
      <c r="F74" s="976"/>
    </row>
    <row r="75" spans="1:6" ht="29" hidden="1">
      <c r="A75" s="974"/>
      <c r="B75" s="1075"/>
      <c r="C75" s="1076"/>
      <c r="D75" s="974"/>
      <c r="E75" s="975" t="s">
        <v>2380</v>
      </c>
      <c r="F75" s="977"/>
    </row>
    <row r="76" spans="1:6" ht="15" hidden="1" thickBot="1">
      <c r="A76" s="978"/>
      <c r="B76" s="1077"/>
      <c r="C76" s="982"/>
      <c r="D76" s="978"/>
      <c r="E76" s="981"/>
      <c r="F76" s="980"/>
    </row>
    <row r="77" spans="1:6" ht="15" hidden="1" thickBot="1">
      <c r="A77" s="1070" t="s">
        <v>2383</v>
      </c>
      <c r="B77" s="1071"/>
      <c r="C77" s="1071"/>
      <c r="D77" s="1071"/>
      <c r="E77" s="1072"/>
      <c r="F77" s="973"/>
    </row>
    <row r="78" spans="1:6" ht="43.5" hidden="1">
      <c r="A78" s="1081" t="s">
        <v>2384</v>
      </c>
      <c r="B78" s="1082"/>
      <c r="C78" s="1084">
        <v>918.80769230769215</v>
      </c>
      <c r="D78" s="1078" t="s">
        <v>2368</v>
      </c>
      <c r="E78" s="975" t="s">
        <v>2373</v>
      </c>
      <c r="F78" s="976"/>
    </row>
    <row r="79" spans="1:6" ht="15" hidden="1" thickBot="1">
      <c r="A79" s="1083"/>
      <c r="B79" s="981"/>
      <c r="C79" s="1085"/>
      <c r="D79" s="978"/>
      <c r="E79" s="981" t="s">
        <v>2355</v>
      </c>
      <c r="F79" s="980"/>
    </row>
    <row r="80" spans="1:6" ht="43.5" hidden="1">
      <c r="A80" s="1081" t="s">
        <v>2385</v>
      </c>
      <c r="B80" s="1082"/>
      <c r="C80" s="1084">
        <v>367.52307692307687</v>
      </c>
      <c r="D80" s="1078" t="s">
        <v>2368</v>
      </c>
      <c r="E80" s="975" t="s">
        <v>2373</v>
      </c>
      <c r="F80" s="976"/>
    </row>
    <row r="81" spans="1:6" ht="15" hidden="1" thickBot="1">
      <c r="A81" s="1083"/>
      <c r="B81" s="981"/>
      <c r="C81" s="1085"/>
      <c r="D81" s="978"/>
      <c r="E81" s="981" t="s">
        <v>2370</v>
      </c>
      <c r="F81" s="980"/>
    </row>
    <row r="82" spans="1:6" hidden="1">
      <c r="A82" s="1081" t="s">
        <v>2386</v>
      </c>
      <c r="B82" s="1082"/>
      <c r="C82" s="1084">
        <v>500</v>
      </c>
      <c r="D82" s="1078" t="s">
        <v>2387</v>
      </c>
      <c r="E82" s="1078" t="s">
        <v>2388</v>
      </c>
      <c r="F82" s="976"/>
    </row>
    <row r="83" spans="1:6" ht="13.5" hidden="1" thickBot="1">
      <c r="A83" s="1083"/>
      <c r="B83" s="981"/>
      <c r="C83" s="1085"/>
      <c r="D83" s="978"/>
      <c r="E83" s="978"/>
      <c r="F83" s="980"/>
    </row>
    <row r="84" spans="1:6" hidden="1">
      <c r="A84" s="1081" t="s">
        <v>2389</v>
      </c>
      <c r="B84" s="1082"/>
      <c r="C84" s="1084">
        <v>250</v>
      </c>
      <c r="D84" s="1078" t="s">
        <v>2387</v>
      </c>
      <c r="E84" s="1078" t="s">
        <v>2388</v>
      </c>
      <c r="F84" s="976"/>
    </row>
    <row r="85" spans="1:6" ht="13.5" hidden="1" thickBot="1">
      <c r="A85" s="1083"/>
      <c r="B85" s="981"/>
      <c r="C85" s="1085"/>
      <c r="D85" s="978"/>
      <c r="E85" s="978"/>
      <c r="F85" s="980"/>
    </row>
    <row r="86" spans="1:6" hidden="1">
      <c r="A86" s="1081" t="s">
        <v>2390</v>
      </c>
      <c r="B86" s="1082"/>
      <c r="C86" s="1084">
        <v>500</v>
      </c>
      <c r="D86" s="1078" t="s">
        <v>2387</v>
      </c>
      <c r="E86" s="1078" t="s">
        <v>2391</v>
      </c>
      <c r="F86" s="976"/>
    </row>
    <row r="87" spans="1:6" ht="13.5" hidden="1" thickBot="1">
      <c r="A87" s="1083"/>
      <c r="B87" s="981"/>
      <c r="C87" s="1085"/>
      <c r="D87" s="978"/>
      <c r="E87" s="978"/>
      <c r="F87" s="980"/>
    </row>
    <row r="88" spans="1:6" ht="43.5" hidden="1">
      <c r="A88" s="1081" t="s">
        <v>2392</v>
      </c>
      <c r="B88" s="1082"/>
      <c r="C88" s="1084">
        <v>73.504615384615349</v>
      </c>
      <c r="D88" s="1078" t="s">
        <v>2393</v>
      </c>
      <c r="E88" s="975" t="s">
        <v>2394</v>
      </c>
      <c r="F88" s="976"/>
    </row>
    <row r="89" spans="1:6" ht="15" hidden="1" thickBot="1">
      <c r="A89" s="1083"/>
      <c r="B89" s="981"/>
      <c r="C89" s="1085"/>
      <c r="D89" s="978"/>
      <c r="E89" s="981" t="s">
        <v>2395</v>
      </c>
      <c r="F89" s="980"/>
    </row>
    <row r="90" spans="1:6" ht="43.5" hidden="1">
      <c r="A90" s="1081" t="s">
        <v>2396</v>
      </c>
      <c r="B90" s="1082"/>
      <c r="C90" s="1084">
        <v>49.003076923076918</v>
      </c>
      <c r="D90" s="1078" t="s">
        <v>2393</v>
      </c>
      <c r="E90" s="975" t="s">
        <v>2394</v>
      </c>
      <c r="F90" s="976"/>
    </row>
    <row r="91" spans="1:6" ht="15" hidden="1" thickBot="1">
      <c r="A91" s="1083"/>
      <c r="B91" s="981"/>
      <c r="C91" s="1085"/>
      <c r="D91" s="978"/>
      <c r="E91" s="981" t="s">
        <v>2374</v>
      </c>
      <c r="F91" s="980"/>
    </row>
    <row r="92" spans="1:6" ht="15" hidden="1" thickBot="1">
      <c r="A92" s="1070" t="s">
        <v>2397</v>
      </c>
      <c r="B92" s="1071"/>
      <c r="C92" s="1071"/>
      <c r="D92" s="1071"/>
      <c r="E92" s="1072"/>
      <c r="F92" s="973"/>
    </row>
    <row r="93" spans="1:6" ht="72.5" hidden="1">
      <c r="A93" s="1081" t="s">
        <v>2398</v>
      </c>
      <c r="B93" s="1082"/>
      <c r="C93" s="1084">
        <v>551.28461538461534</v>
      </c>
      <c r="D93" s="1078" t="s">
        <v>2399</v>
      </c>
      <c r="E93" s="975" t="s">
        <v>2400</v>
      </c>
      <c r="F93" s="976"/>
    </row>
    <row r="94" spans="1:6" ht="14.5" hidden="1">
      <c r="A94" s="1086"/>
      <c r="B94" s="975"/>
      <c r="C94" s="1087"/>
      <c r="D94" s="974"/>
      <c r="E94" s="975" t="s">
        <v>2401</v>
      </c>
      <c r="F94" s="977"/>
    </row>
    <row r="95" spans="1:6" ht="15" hidden="1" thickBot="1">
      <c r="A95" s="1083"/>
      <c r="B95" s="981"/>
      <c r="C95" s="1085"/>
      <c r="D95" s="978"/>
      <c r="E95" s="981"/>
      <c r="F95" s="980"/>
    </row>
    <row r="96" spans="1:6" ht="43.5" hidden="1">
      <c r="A96" s="1081" t="s">
        <v>2402</v>
      </c>
      <c r="B96" s="1082"/>
      <c r="C96" s="1084">
        <v>49.003076923076918</v>
      </c>
      <c r="D96" s="1078" t="s">
        <v>2399</v>
      </c>
      <c r="E96" s="975" t="s">
        <v>2394</v>
      </c>
      <c r="F96" s="976"/>
    </row>
    <row r="97" spans="1:6" ht="14.5" hidden="1">
      <c r="A97" s="1086"/>
      <c r="B97" s="975"/>
      <c r="C97" s="1087"/>
      <c r="D97" s="974"/>
      <c r="E97" s="975" t="s">
        <v>2374</v>
      </c>
      <c r="F97" s="977"/>
    </row>
    <row r="98" spans="1:6" ht="15" hidden="1" thickBot="1">
      <c r="A98" s="1083"/>
      <c r="B98" s="981"/>
      <c r="C98" s="1085"/>
      <c r="D98" s="978"/>
      <c r="E98" s="981"/>
      <c r="F98" s="980"/>
    </row>
    <row r="99" spans="1:6" ht="43.5" hidden="1">
      <c r="A99" s="1081" t="s">
        <v>2403</v>
      </c>
      <c r="B99" s="1082"/>
      <c r="C99" s="1084">
        <v>49.003076923076918</v>
      </c>
      <c r="D99" s="1078" t="s">
        <v>2399</v>
      </c>
      <c r="E99" s="975" t="s">
        <v>2394</v>
      </c>
      <c r="F99" s="976"/>
    </row>
    <row r="100" spans="1:6" ht="14.5" hidden="1">
      <c r="A100" s="1086"/>
      <c r="B100" s="975"/>
      <c r="C100" s="1087"/>
      <c r="D100" s="974"/>
      <c r="E100" s="975" t="s">
        <v>2374</v>
      </c>
      <c r="F100" s="977"/>
    </row>
    <row r="101" spans="1:6" ht="15" hidden="1" thickBot="1">
      <c r="A101" s="1083"/>
      <c r="B101" s="981"/>
      <c r="C101" s="1085"/>
      <c r="D101" s="978"/>
      <c r="E101" s="981"/>
      <c r="F101" s="980"/>
    </row>
    <row r="102" spans="1:6" ht="15" hidden="1" thickBot="1">
      <c r="A102" s="1070" t="s">
        <v>2404</v>
      </c>
      <c r="B102" s="1071"/>
      <c r="C102" s="1071"/>
      <c r="D102" s="1071"/>
      <c r="E102" s="1072"/>
      <c r="F102" s="973"/>
    </row>
    <row r="103" spans="1:6" ht="72.5" hidden="1">
      <c r="A103" s="1081" t="s">
        <v>2398</v>
      </c>
      <c r="B103" s="1082"/>
      <c r="C103" s="1084">
        <v>49.003076923076918</v>
      </c>
      <c r="D103" s="1078" t="s">
        <v>2399</v>
      </c>
      <c r="E103" s="975" t="s">
        <v>2400</v>
      </c>
      <c r="F103" s="976"/>
    </row>
    <row r="104" spans="1:6" ht="14.5" hidden="1">
      <c r="A104" s="1086"/>
      <c r="B104" s="975"/>
      <c r="C104" s="1087"/>
      <c r="D104" s="974"/>
      <c r="E104" s="975" t="s">
        <v>2405</v>
      </c>
      <c r="F104" s="977"/>
    </row>
    <row r="105" spans="1:6" ht="15" hidden="1" thickBot="1">
      <c r="A105" s="1083"/>
      <c r="B105" s="981"/>
      <c r="C105" s="1085"/>
      <c r="D105" s="978"/>
      <c r="E105" s="981"/>
      <c r="F105" s="980"/>
    </row>
    <row r="106" spans="1:6" ht="43.5" hidden="1">
      <c r="A106" s="1081" t="s">
        <v>2402</v>
      </c>
      <c r="B106" s="1082"/>
      <c r="C106" s="1084">
        <v>49.003076923076918</v>
      </c>
      <c r="D106" s="1078" t="s">
        <v>2399</v>
      </c>
      <c r="E106" s="975" t="s">
        <v>2394</v>
      </c>
      <c r="F106" s="976"/>
    </row>
    <row r="107" spans="1:6" ht="14.5" hidden="1">
      <c r="A107" s="1086"/>
      <c r="B107" s="975"/>
      <c r="C107" s="1087"/>
      <c r="D107" s="974"/>
      <c r="E107" s="975" t="s">
        <v>2374</v>
      </c>
      <c r="F107" s="977"/>
    </row>
    <row r="108" spans="1:6" ht="15" hidden="1" thickBot="1">
      <c r="A108" s="1083"/>
      <c r="B108" s="981"/>
      <c r="C108" s="1085"/>
      <c r="D108" s="978"/>
      <c r="E108" s="981"/>
      <c r="F108" s="980"/>
    </row>
    <row r="109" spans="1:6" ht="43.5" hidden="1">
      <c r="A109" s="1081" t="s">
        <v>2403</v>
      </c>
      <c r="B109" s="1082"/>
      <c r="C109" s="1084">
        <v>49.003076923076918</v>
      </c>
      <c r="D109" s="1078" t="s">
        <v>2399</v>
      </c>
      <c r="E109" s="975" t="s">
        <v>2394</v>
      </c>
      <c r="F109" s="976"/>
    </row>
    <row r="110" spans="1:6" ht="14.5" hidden="1">
      <c r="A110" s="1086"/>
      <c r="B110" s="975"/>
      <c r="C110" s="1087"/>
      <c r="D110" s="974"/>
      <c r="E110" s="975" t="s">
        <v>2374</v>
      </c>
      <c r="F110" s="977"/>
    </row>
    <row r="111" spans="1:6" ht="15" hidden="1" thickBot="1">
      <c r="A111" s="1083"/>
      <c r="B111" s="981"/>
      <c r="C111" s="1085"/>
      <c r="D111" s="978"/>
      <c r="E111" s="981"/>
      <c r="F111" s="980"/>
    </row>
    <row r="112" spans="1:6" ht="15" hidden="1" thickBot="1">
      <c r="A112" s="1070" t="s">
        <v>2406</v>
      </c>
      <c r="B112" s="1071"/>
      <c r="C112" s="1071"/>
      <c r="D112" s="1071"/>
      <c r="E112" s="1072"/>
      <c r="F112" s="973"/>
    </row>
    <row r="113" spans="1:6" ht="15" hidden="1" thickBot="1">
      <c r="A113" s="1070" t="s">
        <v>2407</v>
      </c>
      <c r="B113" s="1072"/>
      <c r="C113" s="982">
        <v>152</v>
      </c>
      <c r="D113" s="981" t="s">
        <v>2408</v>
      </c>
      <c r="E113" s="981"/>
      <c r="F113" s="973"/>
    </row>
    <row r="114" spans="1:6" ht="29.5" hidden="1" thickBot="1">
      <c r="A114" s="1070" t="s">
        <v>2409</v>
      </c>
      <c r="B114" s="1072"/>
      <c r="C114" s="982">
        <v>3060</v>
      </c>
      <c r="D114" s="981" t="s">
        <v>2410</v>
      </c>
      <c r="E114" s="981" t="s">
        <v>2411</v>
      </c>
      <c r="F114" s="973"/>
    </row>
    <row r="115" spans="1:6" ht="29.5" hidden="1" thickBot="1">
      <c r="A115" s="1070" t="s">
        <v>2412</v>
      </c>
      <c r="B115" s="1072"/>
      <c r="C115" s="982">
        <v>225</v>
      </c>
      <c r="D115" s="981" t="s">
        <v>2410</v>
      </c>
      <c r="E115" s="981" t="s">
        <v>2411</v>
      </c>
      <c r="F115" s="973"/>
    </row>
    <row r="116" spans="1:6" ht="29.5" hidden="1" thickBot="1">
      <c r="A116" s="1070" t="s">
        <v>2413</v>
      </c>
      <c r="B116" s="1072"/>
      <c r="C116" s="982">
        <v>225</v>
      </c>
      <c r="D116" s="981" t="s">
        <v>2393</v>
      </c>
      <c r="E116" s="981" t="s">
        <v>2411</v>
      </c>
      <c r="F116" s="973"/>
    </row>
    <row r="117" spans="1:6" ht="29.5" hidden="1" thickBot="1">
      <c r="A117" s="1070" t="s">
        <v>2414</v>
      </c>
      <c r="B117" s="1072"/>
      <c r="C117" s="982">
        <v>3820</v>
      </c>
      <c r="D117" s="981" t="s">
        <v>2415</v>
      </c>
      <c r="E117" s="981" t="s">
        <v>2411</v>
      </c>
      <c r="F117" s="973"/>
    </row>
    <row r="118" spans="1:6" ht="29.5" hidden="1" thickBot="1">
      <c r="A118" s="1070" t="s">
        <v>2416</v>
      </c>
      <c r="B118" s="1072"/>
      <c r="C118" s="982">
        <v>207</v>
      </c>
      <c r="D118" s="981" t="s">
        <v>2393</v>
      </c>
      <c r="E118" s="981" t="s">
        <v>2411</v>
      </c>
      <c r="F118" s="973"/>
    </row>
    <row r="119" spans="1:6" ht="29.5" hidden="1" thickBot="1">
      <c r="A119" s="1070" t="s">
        <v>2417</v>
      </c>
      <c r="B119" s="1072"/>
      <c r="C119" s="982">
        <v>5040</v>
      </c>
      <c r="D119" s="981" t="s">
        <v>2415</v>
      </c>
      <c r="E119" s="981" t="s">
        <v>2411</v>
      </c>
      <c r="F119" s="973"/>
    </row>
    <row r="120" spans="1:6" ht="29.5" hidden="1" thickBot="1">
      <c r="A120" s="1070" t="s">
        <v>2418</v>
      </c>
      <c r="B120" s="1072"/>
      <c r="C120" s="982">
        <v>331</v>
      </c>
      <c r="D120" s="981" t="s">
        <v>2393</v>
      </c>
      <c r="E120" s="981" t="s">
        <v>2411</v>
      </c>
      <c r="F120" s="973"/>
    </row>
    <row r="121" spans="1:6" ht="29.5" hidden="1" thickBot="1">
      <c r="A121" s="1070" t="s">
        <v>2419</v>
      </c>
      <c r="B121" s="1072"/>
      <c r="C121" s="982">
        <v>350</v>
      </c>
      <c r="D121" s="981" t="s">
        <v>2410</v>
      </c>
      <c r="E121" s="981" t="s">
        <v>2411</v>
      </c>
      <c r="F121" s="973"/>
    </row>
    <row r="122" spans="1:6" ht="29.5" hidden="1" thickBot="1">
      <c r="A122" s="1070" t="s">
        <v>2420</v>
      </c>
      <c r="B122" s="1072"/>
      <c r="C122" s="982">
        <v>300</v>
      </c>
      <c r="D122" s="981" t="s">
        <v>2410</v>
      </c>
      <c r="E122" s="981" t="s">
        <v>2411</v>
      </c>
      <c r="F122" s="973"/>
    </row>
    <row r="123" spans="1:6" ht="29.5" hidden="1" thickBot="1">
      <c r="A123" s="1070" t="s">
        <v>2421</v>
      </c>
      <c r="B123" s="1072"/>
      <c r="C123" s="982">
        <v>200</v>
      </c>
      <c r="D123" s="981" t="s">
        <v>2410</v>
      </c>
      <c r="E123" s="981" t="s">
        <v>2411</v>
      </c>
      <c r="F123" s="973"/>
    </row>
    <row r="124" spans="1:6" ht="29.5" hidden="1" thickBot="1">
      <c r="A124" s="1070" t="s">
        <v>2422</v>
      </c>
      <c r="B124" s="1072"/>
      <c r="C124" s="982">
        <v>250</v>
      </c>
      <c r="D124" s="981" t="s">
        <v>2393</v>
      </c>
      <c r="E124" s="981" t="s">
        <v>2411</v>
      </c>
      <c r="F124" s="973"/>
    </row>
    <row r="125" spans="1:6" ht="29.5" hidden="1" thickBot="1">
      <c r="A125" s="1070" t="s">
        <v>2423</v>
      </c>
      <c r="B125" s="1072"/>
      <c r="C125" s="982">
        <v>271.2</v>
      </c>
      <c r="D125" s="981" t="s">
        <v>2415</v>
      </c>
      <c r="E125" s="981" t="s">
        <v>2411</v>
      </c>
      <c r="F125" s="973"/>
    </row>
    <row r="126" spans="1:5">
      <c r="A126" s="1021" t="s">
        <v>2481</v>
      </c>
      <c r="B126" s="1021"/>
      <c r="C126" s="1021"/>
      <c r="D126" s="1021" t="s">
        <v>2489</v>
      </c>
      <c r="E126" s="1021"/>
    </row>
    <row r="127" spans="1:5">
      <c r="A127" s="1022" t="s">
        <v>2479</v>
      </c>
      <c r="B127" s="1020"/>
      <c r="C127" s="1020"/>
      <c r="D127" s="1020"/>
      <c r="E127" s="1020"/>
    </row>
    <row r="128" spans="1:5">
      <c r="A128" s="1022" t="s">
        <v>2482</v>
      </c>
      <c r="B128" s="1020"/>
      <c r="C128" s="1020"/>
      <c r="D128" s="1020" t="s">
        <v>2488</v>
      </c>
      <c r="E128" s="1020"/>
    </row>
    <row r="129" spans="1:5" ht="26">
      <c r="A129" s="1022" t="s">
        <v>2480</v>
      </c>
      <c r="B129" s="1020"/>
      <c r="C129" s="1020"/>
      <c r="D129" s="1023" t="s">
        <v>2495</v>
      </c>
      <c r="E129" s="1020"/>
    </row>
  </sheetData>
  <mergeCells count="97">
    <mergeCell ref="A124:B124"/>
    <mergeCell ref="A125:B125"/>
    <mergeCell ref="A118:B118"/>
    <mergeCell ref="A119:B119"/>
    <mergeCell ref="A120:B120"/>
    <mergeCell ref="A121:B121"/>
    <mergeCell ref="A122:B122"/>
    <mergeCell ref="A123:B123"/>
    <mergeCell ref="A102:E102"/>
    <mergeCell ref="A103:B105"/>
    <mergeCell ref="C103:C105"/>
    <mergeCell ref="D103:D105"/>
    <mergeCell ref="A117:B117"/>
    <mergeCell ref="A106:B108"/>
    <mergeCell ref="C106:C108"/>
    <mergeCell ref="D106:D108"/>
    <mergeCell ref="A109:B111"/>
    <mergeCell ref="C109:C111"/>
    <mergeCell ref="D109:D111"/>
    <mergeCell ref="A112:E112"/>
    <mergeCell ref="A113:B113"/>
    <mergeCell ref="A114:B114"/>
    <mergeCell ref="A115:B115"/>
    <mergeCell ref="A116:B116"/>
    <mergeCell ref="A96:B98"/>
    <mergeCell ref="C96:C98"/>
    <mergeCell ref="D96:D98"/>
    <mergeCell ref="A99:B101"/>
    <mergeCell ref="C99:C101"/>
    <mergeCell ref="D99:D101"/>
    <mergeCell ref="A90:B91"/>
    <mergeCell ref="C90:C91"/>
    <mergeCell ref="D90:D91"/>
    <mergeCell ref="A92:E92"/>
    <mergeCell ref="A93:B95"/>
    <mergeCell ref="C93:C95"/>
    <mergeCell ref="D93:D95"/>
    <mergeCell ref="C84:C85"/>
    <mergeCell ref="D84:D85"/>
    <mergeCell ref="E84:E85"/>
    <mergeCell ref="A88:B89"/>
    <mergeCell ref="C88:C89"/>
    <mergeCell ref="D88:D89"/>
    <mergeCell ref="A77:E77"/>
    <mergeCell ref="A78:B79"/>
    <mergeCell ref="C78:C79"/>
    <mergeCell ref="D78:D79"/>
    <mergeCell ref="A86:B87"/>
    <mergeCell ref="C86:C87"/>
    <mergeCell ref="D86:D87"/>
    <mergeCell ref="E86:E87"/>
    <mergeCell ref="A80:B81"/>
    <mergeCell ref="C80:C81"/>
    <mergeCell ref="D80:D81"/>
    <mergeCell ref="A82:B83"/>
    <mergeCell ref="C82:C83"/>
    <mergeCell ref="D82:D83"/>
    <mergeCell ref="E82:E83"/>
    <mergeCell ref="A84:B85"/>
    <mergeCell ref="A71:A73"/>
    <mergeCell ref="B71:C73"/>
    <mergeCell ref="D71:D73"/>
    <mergeCell ref="A74:A76"/>
    <mergeCell ref="B74:C76"/>
    <mergeCell ref="D74:D76"/>
    <mergeCell ref="A65:A67"/>
    <mergeCell ref="B65:C67"/>
    <mergeCell ref="D65:D67"/>
    <mergeCell ref="A68:A70"/>
    <mergeCell ref="B68:C70"/>
    <mergeCell ref="D68:D70"/>
    <mergeCell ref="A58:A60"/>
    <mergeCell ref="B58:C60"/>
    <mergeCell ref="D58:D60"/>
    <mergeCell ref="A61:E61"/>
    <mergeCell ref="A62:A64"/>
    <mergeCell ref="B62:C64"/>
    <mergeCell ref="D62:D64"/>
    <mergeCell ref="A52:A54"/>
    <mergeCell ref="B52:C54"/>
    <mergeCell ref="D52:D54"/>
    <mergeCell ref="A55:A57"/>
    <mergeCell ref="B55:C57"/>
    <mergeCell ref="D55:D57"/>
    <mergeCell ref="B47:C49"/>
    <mergeCell ref="D47:D49"/>
    <mergeCell ref="A50:A51"/>
    <mergeCell ref="B50:C51"/>
    <mergeCell ref="D50:D51"/>
    <mergeCell ref="A20:B20"/>
    <mergeCell ref="A24:B24"/>
    <mergeCell ref="B42:C42"/>
    <mergeCell ref="A43:E43"/>
    <mergeCell ref="B44:C46"/>
    <mergeCell ref="D44:D46"/>
    <mergeCell ref="A34:B34"/>
    <mergeCell ref="A33:B33"/>
  </mergeCells>
  <dataValidations count="1">
    <dataValidation type="list" allowBlank="1" showInputMessage="1" showErrorMessage="1" sqref="B4:B9">
      <formula1>'Look Up'!A5:A9</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tabColor rgb="FF7030A0"/>
  </sheetPr>
  <dimension ref="A1:G53"/>
  <sheetViews>
    <sheetView topLeftCell="A4" view="pageBreakPreview" workbookViewId="0">
      <selection pane="topLeft" activeCell="D42" sqref="D42:D43"/>
    </sheetView>
  </sheetViews>
  <sheetFormatPr defaultRowHeight="12.5"/>
  <cols>
    <col min="1" max="1" width="14.5703125" customWidth="1"/>
    <col min="2" max="3" width="14.27734375" customWidth="1"/>
    <col min="4" max="4" width="10.5703125" customWidth="1"/>
    <col min="5" max="5" width="10.27734375" customWidth="1"/>
  </cols>
  <sheetData>
    <row r="1" spans="1:7">
      <c r="A1" s="239">
        <f>'Per patient Arm 1'!AR91</f>
        <v>0</v>
      </c>
      <c r="B1">
        <f>'Study Information &amp; rates'!B27</f>
        <v>0</v>
      </c>
      <c r="C1" s="239">
        <f>A1*B1</f>
        <v>0</v>
      </c>
      <c r="E1" s="239"/>
      <c r="F1" s="239"/>
      <c r="G1" s="239"/>
    </row>
    <row r="2" spans="1:6">
      <c r="A2" s="239">
        <f>'Per patient Arm 2'!AR92</f>
        <v>0</v>
      </c>
      <c r="B2">
        <f>'Study Information &amp; rates'!B28</f>
        <v>0</v>
      </c>
      <c r="C2" s="239">
        <f>A2*B2</f>
        <v>0</v>
      </c>
      <c r="E2" s="239"/>
      <c r="F2" s="239"/>
    </row>
    <row r="3" spans="1:6">
      <c r="A3" s="239">
        <f>'Per patient Arm 3'!AR92</f>
        <v>0</v>
      </c>
      <c r="B3">
        <f>'Study Information &amp; rates'!B29</f>
        <v>0</v>
      </c>
      <c r="C3" s="239">
        <f>A3*B3</f>
        <v>0</v>
      </c>
      <c r="E3" s="239"/>
      <c r="F3" s="239"/>
    </row>
    <row r="4" spans="1:6">
      <c r="A4" s="239">
        <f>'Per patient Arm 4'!AR92</f>
        <v>0</v>
      </c>
      <c r="B4">
        <f>'Study Information &amp; rates'!B30</f>
        <v>0</v>
      </c>
      <c r="C4" s="239">
        <f>A4*B4</f>
        <v>0</v>
      </c>
      <c r="E4" s="239"/>
      <c r="F4" s="239"/>
    </row>
    <row r="5" spans="1:6">
      <c r="A5" s="239">
        <f>'Per patient Arm 5'!AR92</f>
        <v>0</v>
      </c>
      <c r="B5">
        <f>'Study Information &amp; rates'!B31</f>
        <v>0</v>
      </c>
      <c r="C5" s="239">
        <f>A5*B5</f>
        <v>0</v>
      </c>
      <c r="D5"/>
      <c r="E5" s="239"/>
      <c r="F5" s="239"/>
    </row>
    <row r="7" spans="3:3">
      <c r="C7" s="239">
        <f>SUM(C1:C6)</f>
        <v>0</v>
      </c>
    </row>
    <row r="8" spans="1:1">
      <c r="A8" t="s">
        <v>1964</v>
      </c>
    </row>
    <row r="9" spans="1:3">
      <c r="A9" s="239">
        <f>'Per patient Arm 1'!AV51</f>
        <v>0</v>
      </c>
      <c r="C9" s="239">
        <f>A9*B1</f>
        <v>0</v>
      </c>
    </row>
    <row r="10" spans="1:3">
      <c r="A10" s="239">
        <f>'Per patient Arm 2'!AV52</f>
        <v>0</v>
      </c>
      <c r="C10" s="239">
        <f>A10*B2</f>
        <v>0</v>
      </c>
    </row>
    <row r="11" spans="1:3">
      <c r="A11" s="239">
        <f>'Per patient Arm 3'!AV52</f>
        <v>0</v>
      </c>
      <c r="C11" s="239">
        <f>A11*B3</f>
        <v>0</v>
      </c>
    </row>
    <row r="12" spans="1:3">
      <c r="A12" s="239">
        <f>'Per patient Arm 4'!AV52</f>
        <v>0</v>
      </c>
      <c r="C12" s="239">
        <f>A12*B4</f>
        <v>0</v>
      </c>
    </row>
    <row r="13" spans="1:3">
      <c r="A13" s="239">
        <f>'Per patient Arm 5'!AV52</f>
        <v>0</v>
      </c>
      <c r="C13" s="239">
        <f>A13*B5</f>
        <v>0</v>
      </c>
    </row>
    <row r="15" spans="3:3">
      <c r="C15" s="262">
        <f>SUM(C9:C14)</f>
        <v>0</v>
      </c>
    </row>
    <row r="17" spans="1:3">
      <c r="A17" s="239">
        <f>'Per patient Arm 1'!$AV$51</f>
        <v>0</v>
      </c>
      <c r="B17">
        <f>'Study Information &amp; rates'!B27</f>
        <v>0</v>
      </c>
      <c r="C17" s="239">
        <f>A17*B17</f>
        <v>0</v>
      </c>
    </row>
    <row r="18" spans="1:3">
      <c r="A18" s="239">
        <f>'Per patient Arm 2'!$AR$52</f>
        <v>0</v>
      </c>
      <c r="B18">
        <f>'Study Information &amp; rates'!B28</f>
        <v>0</v>
      </c>
      <c r="C18" s="239">
        <f>A18*B18</f>
        <v>0</v>
      </c>
    </row>
    <row r="19" spans="1:3">
      <c r="A19" s="239">
        <f>'Per patient Arm 3'!$AR$52</f>
        <v>0</v>
      </c>
      <c r="B19">
        <f>'Study Information &amp; rates'!B29</f>
        <v>0</v>
      </c>
      <c r="C19" s="239">
        <f>A19*B19</f>
        <v>0</v>
      </c>
    </row>
    <row r="20" spans="1:3">
      <c r="A20" s="239">
        <f>'Per patient Arm 4'!$AR$52</f>
        <v>0</v>
      </c>
      <c r="B20">
        <f>'Study Information &amp; rates'!B30</f>
        <v>0</v>
      </c>
      <c r="C20" s="239">
        <f>A20*B20</f>
        <v>0</v>
      </c>
    </row>
    <row r="21" spans="1:3">
      <c r="A21" s="239">
        <f>'Per patient Arm 5'!$AR$52</f>
        <v>0</v>
      </c>
      <c r="B21">
        <f>'Study Information &amp; rates'!B31</f>
        <v>0</v>
      </c>
      <c r="C21" s="239">
        <f>A21*B21</f>
        <v>0</v>
      </c>
    </row>
    <row r="23" spans="3:3">
      <c r="C23" s="297">
        <f>SUM(C17:C22)</f>
        <v>0</v>
      </c>
    </row>
    <row r="27" spans="1:2">
      <c r="A27" s="283"/>
      <c r="B27"/>
    </row>
    <row r="28" spans="1:2">
      <c r="A28" s="283" t="s">
        <v>1930</v>
      </c>
      <c r="B28" s="306">
        <f>Pathology!J17+Pathology!J31</f>
        <v>0</v>
      </c>
    </row>
    <row r="29" spans="1:2">
      <c r="A29" t="s">
        <v>1695</v>
      </c>
      <c r="B29" s="306">
        <f>Pharmacy!J17+Pharmacy!J27+Pharmacy!J44</f>
        <v>0</v>
      </c>
    </row>
    <row r="30" spans="1:2">
      <c r="A30" s="328" t="s">
        <v>1705</v>
      </c>
      <c r="B30" s="307">
        <f>Radiology!K17+Radiology!K30+Radiology!K43</f>
        <v>0</v>
      </c>
    </row>
    <row r="31" spans="1:2" customFormat="1">
      <c r="A31" s="328" t="s">
        <v>1931</v>
      </c>
      <c r="B31" s="307">
        <f>CRF!L27+CRF!L46+CRF!L63</f>
        <v>0</v>
      </c>
    </row>
    <row r="32" spans="1:2">
      <c r="A32" s="304" t="s">
        <v>2060</v>
      </c>
      <c r="B32" s="298">
        <f>'Additional Study Activities'!N27+'Additional Study Activities'!N46+'Additional Study Activities'!N63</f>
        <v>0</v>
      </c>
    </row>
    <row r="33" spans="1:2">
      <c r="A33" s="304" t="s">
        <v>2061</v>
      </c>
      <c r="B33" s="299">
        <f>'Set-up and other costs'!C10</f>
        <v>500</v>
      </c>
    </row>
    <row r="34" spans="1:2">
      <c r="A34" s="304" t="s">
        <v>2062</v>
      </c>
      <c r="B34" s="298">
        <f>'Study Information &amp; rates'!B27*'Per patient Arm 1'!B1</f>
        <v>0</v>
      </c>
    </row>
    <row r="35" spans="1:2">
      <c r="A35" s="304" t="s">
        <v>2063</v>
      </c>
      <c r="B35" s="298">
        <f>'Per patient Arm 2'!A2*'Study Information &amp; rates'!B28</f>
        <v>0</v>
      </c>
    </row>
    <row r="36" spans="1:2">
      <c r="A36" s="304" t="s">
        <v>2064</v>
      </c>
      <c r="B36" s="298">
        <f>'Per patient Arm 3'!A2*'Study Information &amp; rates'!B29</f>
        <v>0</v>
      </c>
    </row>
    <row r="37" spans="1:2">
      <c r="A37" s="304" t="s">
        <v>2065</v>
      </c>
      <c r="B37" s="298">
        <f>'Per patient Arm 4'!A2*'Study Information &amp; rates'!B30</f>
        <v>0</v>
      </c>
    </row>
    <row r="38" spans="1:2">
      <c r="A38" s="304" t="s">
        <v>2066</v>
      </c>
      <c r="B38" s="298">
        <f>'Per patient Arm 5'!A2*'Study Information &amp; rates'!B31</f>
        <v>0</v>
      </c>
    </row>
    <row r="39" spans="1:2">
      <c r="A39" s="788" t="s">
        <v>2336</v>
      </c>
      <c r="B39" s="304">
        <f>'Total Summary and Budget'!J40</f>
        <v>0</v>
      </c>
    </row>
    <row r="40" spans="1:2">
      <c r="A40" s="304" t="s">
        <v>50</v>
      </c>
      <c r="B40" s="298">
        <f>SUM(B28:B39)</f>
        <v>500</v>
      </c>
    </row>
    <row r="41" spans="1:2">
      <c r="A41" s="304"/>
      <c r="B41" s="304"/>
    </row>
    <row r="42" spans="1:2" ht="13" thickBot="1">
      <c r="A42" s="304" t="s">
        <v>63</v>
      </c>
      <c r="B42" s="300">
        <f>Reconciliation!B40-'Total Summary and Budget'!B6</f>
        <v>0</v>
      </c>
    </row>
    <row r="43" spans="1:2" ht="13" thickTop="1">
      <c r="A43" s="283"/>
      <c r="B43"/>
    </row>
    <row r="44" ht="13" thickBot="1"/>
    <row r="45" spans="1:6" ht="13" thickTop="1">
      <c r="A45" s="330" t="s">
        <v>2120</v>
      </c>
      <c r="B45" s="331"/>
      <c r="C45" s="331"/>
      <c r="D45" s="338"/>
      <c r="E45" s="332" t="s">
        <v>2141</v>
      </c>
      <c r="F45" s="343" t="s">
        <v>2142</v>
      </c>
    </row>
    <row r="46" spans="1:6">
      <c r="A46" s="333">
        <v>1</v>
      </c>
      <c r="B46" s="249" t="s">
        <v>2122</v>
      </c>
      <c r="C46" s="341">
        <v>10000</v>
      </c>
      <c r="D46" s="339" t="s">
        <v>2124</v>
      </c>
      <c r="E46" s="334">
        <v>76.07</v>
      </c>
      <c r="F46" s="334">
        <v>72.49</v>
      </c>
    </row>
    <row r="47" spans="1:6">
      <c r="A47" s="333">
        <v>2</v>
      </c>
      <c r="B47" s="249" t="s">
        <v>2121</v>
      </c>
      <c r="C47" s="341">
        <v>10000</v>
      </c>
      <c r="D47" s="339" t="s">
        <v>2125</v>
      </c>
      <c r="E47" s="334">
        <v>266.24</v>
      </c>
      <c r="F47" s="334">
        <v>253.7</v>
      </c>
    </row>
    <row r="48" spans="1:6" ht="13" thickBot="1">
      <c r="A48" s="335">
        <v>3</v>
      </c>
      <c r="B48" s="336" t="s">
        <v>2123</v>
      </c>
      <c r="C48" s="336"/>
      <c r="D48" s="340" t="s">
        <v>2126</v>
      </c>
      <c r="E48" s="337">
        <v>836.75</v>
      </c>
      <c r="F48" s="337">
        <v>797.35</v>
      </c>
    </row>
    <row r="49" ht="13" thickTop="1"/>
    <row r="51" spans="1:2">
      <c r="A51" t="s">
        <v>2127</v>
      </c>
      <c r="B51">
        <f>IF('Study Information &amp; rates'!B89&lt;10000,(E46*'Study Information &amp; rates'!B32),('Study Information &amp; rates'!B32*Reconciliation!E47))</f>
        <v>0</v>
      </c>
    </row>
    <row r="53" spans="1:2">
      <c r="A53" t="s">
        <v>2123</v>
      </c>
      <c r="B53">
        <f>IF('Study Information &amp; rates'!B90="yes",(E48*'Study Information &amp; rates'!B32),0)</f>
        <v>0</v>
      </c>
    </row>
  </sheetData>
  <pageMargins left="0.7" right="0.7" top="0.75" bottom="0.75" header="0.3" footer="0.3"/>
  <pageSetup paperSize="9" orientation="portrait"/>
  <headerFooter scaleWithDoc="1" alignWithMargins="0" differentFirst="0" differentOddEven="0"/>
  <drawing r:id="rId2"/>
  <extLst/>
</worksheet>
</file>

<file path=xl/worksheets/sheet2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0">
    <pageSetUpPr fitToPage="1"/>
  </sheetPr>
  <dimension ref="A1:P22"/>
  <sheetViews>
    <sheetView view="normal" workbookViewId="0">
      <selection pane="topLeft" activeCell="C21" sqref="C21"/>
    </sheetView>
  </sheetViews>
  <sheetFormatPr defaultRowHeight="12.5"/>
  <cols>
    <col min="1" max="1" width="3.140625" customWidth="1"/>
    <col min="13" max="13" width="10.140625" customWidth="1"/>
  </cols>
  <sheetData>
    <row r="1" ht="15" customHeight="1" thickBot="1"/>
    <row r="2" spans="2:14" ht="13.5" customHeight="1">
      <c r="B2" s="206"/>
      <c r="C2" s="207"/>
      <c r="D2" s="207"/>
      <c r="E2" s="207"/>
      <c r="F2" s="207"/>
      <c r="G2" s="207"/>
      <c r="H2" s="207"/>
      <c r="I2" s="207"/>
      <c r="J2" s="207"/>
      <c r="K2" s="207"/>
      <c r="L2" s="207"/>
      <c r="M2" s="207"/>
      <c r="N2" s="208"/>
    </row>
    <row r="3" spans="2:14" ht="13.5" customHeight="1">
      <c r="B3" s="209" t="s">
        <v>1871</v>
      </c>
      <c r="C3" s="210"/>
      <c r="D3" s="210"/>
      <c r="E3" s="210"/>
      <c r="F3" s="210"/>
      <c r="G3" s="211" t="s">
        <v>1872</v>
      </c>
      <c r="H3" s="211"/>
      <c r="I3" s="211"/>
      <c r="J3" s="211"/>
      <c r="K3" s="211"/>
      <c r="L3" s="211"/>
      <c r="M3" s="211"/>
      <c r="N3" s="212"/>
    </row>
    <row r="4" spans="2:14" ht="13.5" customHeight="1">
      <c r="B4" s="213"/>
      <c r="C4" s="210"/>
      <c r="D4" s="210"/>
      <c r="E4" s="210"/>
      <c r="F4" s="210"/>
      <c r="G4" s="210"/>
      <c r="H4" s="210"/>
      <c r="I4" s="210"/>
      <c r="J4" s="210"/>
      <c r="K4" s="210"/>
      <c r="L4" s="210"/>
      <c r="M4" s="210"/>
      <c r="N4" s="212"/>
    </row>
    <row r="5" spans="2:14" ht="13.5" customHeight="1">
      <c r="B5" s="214" t="s">
        <v>1873</v>
      </c>
      <c r="C5" s="215" t="s">
        <v>1874</v>
      </c>
      <c r="D5" s="216">
        <f>'[9]Study Information &amp; rates'!B10:H10</f>
        <v>0</v>
      </c>
      <c r="E5" s="210"/>
      <c r="F5" s="210"/>
      <c r="G5" s="210"/>
      <c r="H5" s="210"/>
      <c r="I5" s="210"/>
      <c r="J5" s="210"/>
      <c r="K5" s="210"/>
      <c r="L5" s="210"/>
      <c r="M5" s="210"/>
      <c r="N5" s="212"/>
    </row>
    <row r="6" spans="2:14" ht="13.5" customHeight="1">
      <c r="B6" s="213"/>
      <c r="C6" s="210"/>
      <c r="D6" s="210"/>
      <c r="E6" s="210"/>
      <c r="F6" s="210"/>
      <c r="G6" s="210"/>
      <c r="H6" s="210"/>
      <c r="I6" s="210"/>
      <c r="J6" s="210"/>
      <c r="K6" s="210"/>
      <c r="L6" s="210"/>
      <c r="M6" s="210"/>
      <c r="N6" s="212"/>
    </row>
    <row r="7" spans="1:16" ht="13.5" customHeight="1">
      <c r="A7" s="217"/>
      <c r="B7" s="214" t="s">
        <v>1875</v>
      </c>
      <c r="C7" s="211"/>
      <c r="D7" s="218"/>
      <c r="E7" s="218"/>
      <c r="F7" s="218"/>
      <c r="G7" s="211" t="s">
        <v>1876</v>
      </c>
      <c r="H7" s="211"/>
      <c r="I7" s="211"/>
      <c r="J7" s="211"/>
      <c r="K7" s="211"/>
      <c r="L7" s="211" t="s">
        <v>1877</v>
      </c>
      <c r="M7" s="219"/>
      <c r="N7" s="220"/>
      <c r="O7" s="217"/>
      <c r="P7" s="217"/>
    </row>
    <row r="8" spans="2:14" ht="13.5" customHeight="1">
      <c r="B8" s="213"/>
      <c r="C8" s="210"/>
      <c r="D8" s="210"/>
      <c r="E8" s="210"/>
      <c r="F8" s="210"/>
      <c r="G8" s="210"/>
      <c r="H8" s="210"/>
      <c r="I8" s="210"/>
      <c r="J8" s="210"/>
      <c r="K8" s="210"/>
      <c r="L8" s="210"/>
      <c r="M8" s="210"/>
      <c r="N8" s="212"/>
    </row>
    <row r="9" spans="2:14" ht="13.5" customHeight="1">
      <c r="B9" s="213"/>
      <c r="C9" s="210"/>
      <c r="D9" s="210"/>
      <c r="E9" s="210"/>
      <c r="F9" s="210"/>
      <c r="G9" s="210"/>
      <c r="H9" s="210"/>
      <c r="I9" s="210"/>
      <c r="J9" s="210"/>
      <c r="K9" s="210"/>
      <c r="L9" s="210"/>
      <c r="M9" s="210"/>
      <c r="N9" s="212"/>
    </row>
    <row r="10" spans="1:16" ht="13.5" customHeight="1">
      <c r="A10" s="217"/>
      <c r="B10" s="214" t="s">
        <v>1878</v>
      </c>
      <c r="C10" s="211"/>
      <c r="D10" s="211"/>
      <c r="E10" s="211"/>
      <c r="F10" s="211"/>
      <c r="G10" s="211" t="s">
        <v>1967</v>
      </c>
      <c r="H10" s="211"/>
      <c r="I10" s="211"/>
      <c r="J10" s="211"/>
      <c r="K10" s="211"/>
      <c r="L10" s="211"/>
      <c r="M10" s="211"/>
      <c r="N10" s="221"/>
      <c r="O10" s="217"/>
      <c r="P10" s="217"/>
    </row>
    <row r="11" spans="2:14" ht="13.5" customHeight="1">
      <c r="B11" s="213"/>
      <c r="C11" s="210"/>
      <c r="D11" s="210"/>
      <c r="E11" s="210"/>
      <c r="F11" s="210"/>
      <c r="G11" s="210"/>
      <c r="H11" s="210"/>
      <c r="I11" s="210"/>
      <c r="J11" s="210"/>
      <c r="K11" s="210"/>
      <c r="L11" s="210"/>
      <c r="M11" s="210"/>
      <c r="N11" s="212"/>
    </row>
    <row r="12" spans="1:16" ht="13.5" customHeight="1">
      <c r="A12" s="217"/>
      <c r="B12" s="214" t="s">
        <v>1879</v>
      </c>
      <c r="C12" s="211"/>
      <c r="D12" s="211"/>
      <c r="E12" s="211"/>
      <c r="F12" s="211"/>
      <c r="G12" s="211" t="s">
        <v>1880</v>
      </c>
      <c r="H12" s="211"/>
      <c r="I12" s="211"/>
      <c r="J12" s="211"/>
      <c r="K12" s="211" t="s">
        <v>1881</v>
      </c>
      <c r="L12" s="211"/>
      <c r="M12" s="211"/>
      <c r="N12" s="221"/>
      <c r="O12" s="217"/>
      <c r="P12" s="217"/>
    </row>
    <row r="13" spans="2:14" ht="13.5" customHeight="1">
      <c r="B13" s="213"/>
      <c r="C13" s="210" t="s">
        <v>1882</v>
      </c>
      <c r="D13" s="210"/>
      <c r="E13" s="210"/>
      <c r="F13" s="210"/>
      <c r="G13" s="210"/>
      <c r="H13" s="210" t="s">
        <v>1883</v>
      </c>
      <c r="I13" s="210"/>
      <c r="J13" s="210"/>
      <c r="K13" s="210"/>
      <c r="L13" s="210"/>
      <c r="M13" s="210"/>
      <c r="N13" s="212"/>
    </row>
    <row r="14" spans="2:14" ht="13.5" customHeight="1">
      <c r="B14" s="213"/>
      <c r="C14" s="210"/>
      <c r="D14" s="210"/>
      <c r="E14" s="210"/>
      <c r="F14" s="210"/>
      <c r="G14" s="210"/>
      <c r="H14" s="210" t="s">
        <v>1884</v>
      </c>
      <c r="I14" s="210"/>
      <c r="J14" s="210"/>
      <c r="K14" s="210"/>
      <c r="L14" s="210"/>
      <c r="M14" s="210"/>
      <c r="N14" s="212"/>
    </row>
    <row r="15" spans="2:14" ht="13.5" customHeight="1">
      <c r="B15" s="213"/>
      <c r="C15" s="210" t="s">
        <v>1885</v>
      </c>
      <c r="D15" s="210"/>
      <c r="E15" s="210"/>
      <c r="F15" s="210"/>
      <c r="G15" s="210"/>
      <c r="H15" s="210" t="s">
        <v>1886</v>
      </c>
      <c r="I15" s="210"/>
      <c r="J15" s="210"/>
      <c r="K15" s="210"/>
      <c r="L15" s="210" t="s">
        <v>1887</v>
      </c>
      <c r="M15" s="210"/>
      <c r="N15" s="212"/>
    </row>
    <row r="16" spans="2:14" ht="13.5" customHeight="1">
      <c r="B16" s="213"/>
      <c r="C16" s="210"/>
      <c r="D16" s="210"/>
      <c r="E16" s="210"/>
      <c r="F16" s="210"/>
      <c r="G16" s="210"/>
      <c r="H16" s="222" t="s">
        <v>1888</v>
      </c>
      <c r="I16" s="210"/>
      <c r="J16" s="210"/>
      <c r="K16" s="210"/>
      <c r="L16" s="222"/>
      <c r="M16" s="210"/>
      <c r="N16" s="212"/>
    </row>
    <row r="17" spans="2:14" ht="13.5" customHeight="1">
      <c r="B17" s="213"/>
      <c r="C17" s="210" t="s">
        <v>1889</v>
      </c>
      <c r="D17" s="210"/>
      <c r="E17" s="210"/>
      <c r="F17" s="210"/>
      <c r="G17" s="210"/>
      <c r="H17" s="210" t="s">
        <v>1890</v>
      </c>
      <c r="I17" s="210"/>
      <c r="J17" s="210"/>
      <c r="K17" s="210"/>
      <c r="L17" s="210" t="s">
        <v>1891</v>
      </c>
      <c r="M17" s="210"/>
      <c r="N17" s="212"/>
    </row>
    <row r="18" spans="2:14" ht="13.5" customHeight="1">
      <c r="B18" s="213"/>
      <c r="C18" s="210"/>
      <c r="D18" s="210"/>
      <c r="E18" s="210"/>
      <c r="F18" s="210"/>
      <c r="G18" s="210"/>
      <c r="H18" s="222" t="s">
        <v>1892</v>
      </c>
      <c r="I18" s="210"/>
      <c r="J18" s="210"/>
      <c r="K18" s="210"/>
      <c r="L18" s="222" t="s">
        <v>1893</v>
      </c>
      <c r="M18" s="210"/>
      <c r="N18" s="212"/>
    </row>
    <row r="19" spans="2:14" ht="13.5" customHeight="1">
      <c r="B19" s="213"/>
      <c r="C19" s="210" t="s">
        <v>1894</v>
      </c>
      <c r="D19" s="210"/>
      <c r="E19" s="210"/>
      <c r="F19" s="210"/>
      <c r="G19" s="210"/>
      <c r="H19" s="210"/>
      <c r="I19" s="210"/>
      <c r="J19" s="210"/>
      <c r="K19" s="210"/>
      <c r="L19" s="210"/>
      <c r="M19" s="210"/>
      <c r="N19" s="212"/>
    </row>
    <row r="20" spans="2:14" ht="13.5" customHeight="1">
      <c r="B20" s="213"/>
      <c r="C20" s="210"/>
      <c r="D20" s="210"/>
      <c r="E20" s="210"/>
      <c r="F20" s="210"/>
      <c r="G20" s="210"/>
      <c r="H20" s="210"/>
      <c r="I20" s="210"/>
      <c r="J20" s="210"/>
      <c r="K20" s="210"/>
      <c r="L20" s="210"/>
      <c r="M20" s="210"/>
      <c r="N20" s="212"/>
    </row>
    <row r="21" spans="2:14" ht="13.5" customHeight="1">
      <c r="B21" s="213"/>
      <c r="C21" s="210" t="s">
        <v>1895</v>
      </c>
      <c r="D21" s="210"/>
      <c r="E21" s="210"/>
      <c r="F21" s="210"/>
      <c r="G21" s="210"/>
      <c r="H21" s="210"/>
      <c r="I21" s="210"/>
      <c r="J21" s="210"/>
      <c r="K21" s="210"/>
      <c r="L21" s="210"/>
      <c r="M21" s="210"/>
      <c r="N21" s="212"/>
    </row>
    <row r="22" spans="2:14" ht="13.5" customHeight="1" thickBot="1">
      <c r="B22" s="223"/>
      <c r="C22" s="224"/>
      <c r="D22" s="224"/>
      <c r="E22" s="224"/>
      <c r="F22" s="224"/>
      <c r="G22" s="224"/>
      <c r="H22" s="224"/>
      <c r="I22" s="224"/>
      <c r="J22" s="224"/>
      <c r="K22" s="224"/>
      <c r="L22" s="224"/>
      <c r="M22" s="224"/>
      <c r="N22" s="225"/>
    </row>
  </sheetData>
  <pageMargins left="0.70866141732283472" right="0.70866141732283472" top="0.74803149606299213" bottom="0.74803149606299213" header="0.31496062992125984" footer="0.31496062992125984"/>
  <pageSetup paperSize="9" orientation="landscape"/>
  <headerFooter scaleWithDoc="1" alignWithMargins="0" differentFirst="0" differentOddEven="0"/>
  <drawing r:id="rId2"/>
  <legacyDrawing r:id="rId3"/>
  <mc:AlternateContent xmlns:mc="http://schemas.openxmlformats.org/markup-compatibility/2006">
    <mc:Choice xmlns:a14="http://schemas.microsoft.com/office/drawing/2010/main" Requires="x14">
      <controls xmlns="http://schemas.openxmlformats.org/spreadsheetml/2006/main">
        <mc:AlternateContent xmlns:mc="http://schemas.openxmlformats.org/markup-compatibility/2006">
          <mc:Choice Requires="x14">
            <control xmlns:r="http://schemas.openxmlformats.org/officeDocument/2006/relationships" shapeId="8193" r:id="rId4" name="Check Box 1">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11</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4" r:id="rId5" name="Check Box 2">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13</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5" r:id="rId6" name="Check Box 3">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15</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6" r:id="rId7" name="Check Box 4">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17</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19</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7" r:id="rId8" name="Check Box 5">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19</xdr:row>
                    <xdr:rowOff xmlns:xdr="http://schemas.openxmlformats.org/drawingml/2006/spreadsheetDrawing">152400</xdr:rowOff>
                  </from>
                  <to>
                    <xdr:col xmlns:xdr="http://schemas.openxmlformats.org/drawingml/2006/spreadsheetDrawing">1</xdr:col>
                    <xdr:colOff xmlns:xdr="http://schemas.openxmlformats.org/drawingml/2006/spreadsheetDrawing">342900</xdr:colOff>
                    <xdr:row xmlns:xdr="http://schemas.openxmlformats.org/drawingml/2006/spreadsheetDrawing">21</xdr:row>
                    <xdr:rowOff xmlns:xdr="http://schemas.openxmlformats.org/drawingml/2006/spreadsheetDrawing">31432</xdr:rowOff>
                  </to>
                </anchor>
              </controlPr>
            </control>
          </mc:Choice>
        </mc:AlternateContent>
        <mc:AlternateContent xmlns:mc="http://schemas.openxmlformats.org/markup-compatibility/2006">
          <mc:Choice Requires="x14">
            <control xmlns:r="http://schemas.openxmlformats.org/officeDocument/2006/relationships" shapeId="8198" r:id="rId9" name="Check Box 6">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11</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9" r:id="rId10" name="Check Box 7">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13</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0" r:id="rId11" name="Check Box 8">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1" r:id="rId12" name="Check Box 9">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13</xdr:row>
                    <xdr:rowOff xmlns:xdr="http://schemas.openxmlformats.org/drawingml/2006/spreadsheetDrawing">133350</xdr:rowOff>
                  </from>
                  <to>
                    <xdr:col xmlns:xdr="http://schemas.openxmlformats.org/drawingml/2006/spreadsheetDrawing">10</xdr:col>
                    <xdr:colOff xmlns:xdr="http://schemas.openxmlformats.org/drawingml/2006/spreadsheetDrawing">355402</xdr:colOff>
                    <xdr:row xmlns:xdr="http://schemas.openxmlformats.org/drawingml/2006/spreadsheetDrawing">15</xdr:row>
                    <xdr:rowOff xmlns:xdr="http://schemas.openxmlformats.org/drawingml/2006/spreadsheetDrawing">12382</xdr:rowOff>
                  </to>
                </anchor>
              </controlPr>
            </control>
          </mc:Choice>
        </mc:AlternateContent>
        <mc:AlternateContent xmlns:mc="http://schemas.openxmlformats.org/markup-compatibility/2006">
          <mc:Choice Requires="x14">
            <control xmlns:r="http://schemas.openxmlformats.org/officeDocument/2006/relationships" shapeId="8202" r:id="rId13" name="Check Box 10">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10</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controls>
    </mc:Choice>
  </mc:AlternateContent>
  <extLst/>
</worksheet>
</file>

<file path=xl/worksheets/sheet2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pageSetUpPr fitToPage="1"/>
  </sheetPr>
  <dimension ref="A1:WWD1365"/>
  <sheetViews>
    <sheetView view="normal" workbookViewId="0">
      <selection pane="topLeft" activeCell="H143" sqref="H143"/>
    </sheetView>
  </sheetViews>
  <sheetFormatPr defaultRowHeight="12.5"/>
  <cols>
    <col min="1" max="1" width="54.84765625" style="59" customWidth="1"/>
    <col min="2" max="2" width="12" style="59" customWidth="1"/>
    <col min="3" max="3" width="10.5703125" style="59" customWidth="1"/>
    <col min="4" max="4" width="78" style="59" customWidth="1"/>
    <col min="5" max="5" width="46.27734375" style="59" customWidth="1"/>
    <col min="6" max="6" width="20" style="59" customWidth="1"/>
    <col min="7" max="7" width="12" style="59" customWidth="1"/>
    <col min="8" max="8" width="16.84765625" style="59" customWidth="1"/>
    <col min="9" max="9" width="11.5703125" style="59" customWidth="1"/>
    <col min="10" max="10" width="9.27734375" style="59" customWidth="1"/>
    <col min="11" max="11" width="9.140625" style="59" customWidth="1"/>
    <col min="12" max="12" width="34.5703125" style="59" customWidth="1"/>
    <col min="13" max="19" width="9.140625" style="59" customWidth="1"/>
    <col min="20" max="20" width="35.7109375" style="59" customWidth="1"/>
    <col min="21" max="21" width="9.140625" style="59" customWidth="1"/>
    <col min="22" max="22" width="11" style="67" customWidth="1"/>
    <col min="23" max="256" width="9.140625" style="59" customWidth="1"/>
    <col min="257" max="257" width="54.84765625" style="59" customWidth="1"/>
    <col min="258" max="258" width="12" style="59" customWidth="1"/>
    <col min="259" max="259" width="10.5703125" style="59" customWidth="1"/>
    <col min="260" max="260" width="78" style="59" customWidth="1"/>
    <col min="261" max="261" width="46.27734375" style="59" customWidth="1"/>
    <col min="262" max="262" width="20" style="59" customWidth="1"/>
    <col min="263" max="263" width="12" style="59" customWidth="1"/>
    <col min="264" max="264" width="16.84765625" style="59" customWidth="1"/>
    <col min="265" max="265" width="11.5703125" style="59" customWidth="1"/>
    <col min="266" max="266" width="9.27734375" style="59" customWidth="1"/>
    <col min="267" max="267" width="9.140625" style="59" customWidth="1"/>
    <col min="268" max="268" width="34.5703125" style="59" customWidth="1"/>
    <col min="269" max="275" width="9.140625" style="59" customWidth="1"/>
    <col min="276" max="276" width="35.7109375" style="59" customWidth="1"/>
    <col min="277" max="277" width="9.140625" style="59" customWidth="1"/>
    <col min="278" max="278" width="11" style="59" customWidth="1"/>
    <col min="279" max="512" width="9.140625" style="59" customWidth="1"/>
    <col min="513" max="513" width="54.84765625" style="59" customWidth="1"/>
    <col min="514" max="514" width="12" style="59" customWidth="1"/>
    <col min="515" max="515" width="10.5703125" style="59" customWidth="1"/>
    <col min="516" max="516" width="78" style="59" customWidth="1"/>
    <col min="517" max="517" width="46.27734375" style="59" customWidth="1"/>
    <col min="518" max="518" width="20" style="59" customWidth="1"/>
    <col min="519" max="519" width="12" style="59" customWidth="1"/>
    <col min="520" max="520" width="16.84765625" style="59" customWidth="1"/>
    <col min="521" max="521" width="11.5703125" style="59" customWidth="1"/>
    <col min="522" max="522" width="9.27734375" style="59" customWidth="1"/>
    <col min="523" max="523" width="9.140625" style="59" customWidth="1"/>
    <col min="524" max="524" width="34.5703125" style="59" customWidth="1"/>
    <col min="525" max="531" width="9.140625" style="59" customWidth="1"/>
    <col min="532" max="532" width="35.7109375" style="59" customWidth="1"/>
    <col min="533" max="533" width="9.140625" style="59" customWidth="1"/>
    <col min="534" max="534" width="11" style="59" customWidth="1"/>
    <col min="535" max="768" width="9.140625" style="59" customWidth="1"/>
    <col min="769" max="769" width="54.84765625" style="59" customWidth="1"/>
    <col min="770" max="770" width="12" style="59" customWidth="1"/>
    <col min="771" max="771" width="10.5703125" style="59" customWidth="1"/>
    <col min="772" max="772" width="78" style="59" customWidth="1"/>
    <col min="773" max="773" width="46.27734375" style="59" customWidth="1"/>
    <col min="774" max="774" width="20" style="59" customWidth="1"/>
    <col min="775" max="775" width="12" style="59" customWidth="1"/>
    <col min="776" max="776" width="16.84765625" style="59" customWidth="1"/>
    <col min="777" max="777" width="11.5703125" style="59" customWidth="1"/>
    <col min="778" max="778" width="9.27734375" style="59" customWidth="1"/>
    <col min="779" max="779" width="9.140625" style="59" customWidth="1"/>
    <col min="780" max="780" width="34.5703125" style="59" customWidth="1"/>
    <col min="781" max="787" width="9.140625" style="59" customWidth="1"/>
    <col min="788" max="788" width="35.7109375" style="59" customWidth="1"/>
    <col min="789" max="789" width="9.140625" style="59" customWidth="1"/>
    <col min="790" max="790" width="11" style="59" customWidth="1"/>
    <col min="791" max="1024" width="9.140625" style="59" customWidth="1"/>
    <col min="1025" max="1025" width="54.84765625" style="59" customWidth="1"/>
    <col min="1026" max="1026" width="12" style="59" customWidth="1"/>
    <col min="1027" max="1027" width="10.5703125" style="59" customWidth="1"/>
    <col min="1028" max="1028" width="78" style="59" customWidth="1"/>
    <col min="1029" max="1029" width="46.27734375" style="59" customWidth="1"/>
    <col min="1030" max="1030" width="20" style="59" customWidth="1"/>
    <col min="1031" max="1031" width="12" style="59" customWidth="1"/>
    <col min="1032" max="1032" width="16.84765625" style="59" customWidth="1"/>
    <col min="1033" max="1033" width="11.5703125" style="59" customWidth="1"/>
    <col min="1034" max="1034" width="9.27734375" style="59" customWidth="1"/>
    <col min="1035" max="1035" width="9.140625" style="59" customWidth="1"/>
    <col min="1036" max="1036" width="34.5703125" style="59" customWidth="1"/>
    <col min="1037" max="1043" width="9.140625" style="59" customWidth="1"/>
    <col min="1044" max="1044" width="35.7109375" style="59" customWidth="1"/>
    <col min="1045" max="1045" width="9.140625" style="59" customWidth="1"/>
    <col min="1046" max="1046" width="11" style="59" customWidth="1"/>
    <col min="1047" max="1280" width="9.140625" style="59" customWidth="1"/>
    <col min="1281" max="1281" width="54.84765625" style="59" customWidth="1"/>
    <col min="1282" max="1282" width="12" style="59" customWidth="1"/>
    <col min="1283" max="1283" width="10.5703125" style="59" customWidth="1"/>
    <col min="1284" max="1284" width="78" style="59" customWidth="1"/>
    <col min="1285" max="1285" width="46.27734375" style="59" customWidth="1"/>
    <col min="1286" max="1286" width="20" style="59" customWidth="1"/>
    <col min="1287" max="1287" width="12" style="59" customWidth="1"/>
    <col min="1288" max="1288" width="16.84765625" style="59" customWidth="1"/>
    <col min="1289" max="1289" width="11.5703125" style="59" customWidth="1"/>
    <col min="1290" max="1290" width="9.27734375" style="59" customWidth="1"/>
    <col min="1291" max="1291" width="9.140625" style="59" customWidth="1"/>
    <col min="1292" max="1292" width="34.5703125" style="59" customWidth="1"/>
    <col min="1293" max="1299" width="9.140625" style="59" customWidth="1"/>
    <col min="1300" max="1300" width="35.7109375" style="59" customWidth="1"/>
    <col min="1301" max="1301" width="9.140625" style="59" customWidth="1"/>
    <col min="1302" max="1302" width="11" style="59" customWidth="1"/>
    <col min="1303" max="1536" width="9.140625" style="59" customWidth="1"/>
    <col min="1537" max="1537" width="54.84765625" style="59" customWidth="1"/>
    <col min="1538" max="1538" width="12" style="59" customWidth="1"/>
    <col min="1539" max="1539" width="10.5703125" style="59" customWidth="1"/>
    <col min="1540" max="1540" width="78" style="59" customWidth="1"/>
    <col min="1541" max="1541" width="46.27734375" style="59" customWidth="1"/>
    <col min="1542" max="1542" width="20" style="59" customWidth="1"/>
    <col min="1543" max="1543" width="12" style="59" customWidth="1"/>
    <col min="1544" max="1544" width="16.84765625" style="59" customWidth="1"/>
    <col min="1545" max="1545" width="11.5703125" style="59" customWidth="1"/>
    <col min="1546" max="1546" width="9.27734375" style="59" customWidth="1"/>
    <col min="1547" max="1547" width="9.140625" style="59" customWidth="1"/>
    <col min="1548" max="1548" width="34.5703125" style="59" customWidth="1"/>
    <col min="1549" max="1555" width="9.140625" style="59" customWidth="1"/>
    <col min="1556" max="1556" width="35.7109375" style="59" customWidth="1"/>
    <col min="1557" max="1557" width="9.140625" style="59" customWidth="1"/>
    <col min="1558" max="1558" width="11" style="59" customWidth="1"/>
    <col min="1559" max="1792" width="9.140625" style="59" customWidth="1"/>
    <col min="1793" max="1793" width="54.84765625" style="59" customWidth="1"/>
    <col min="1794" max="1794" width="12" style="59" customWidth="1"/>
    <col min="1795" max="1795" width="10.5703125" style="59" customWidth="1"/>
    <col min="1796" max="1796" width="78" style="59" customWidth="1"/>
    <col min="1797" max="1797" width="46.27734375" style="59" customWidth="1"/>
    <col min="1798" max="1798" width="20" style="59" customWidth="1"/>
    <col min="1799" max="1799" width="12" style="59" customWidth="1"/>
    <col min="1800" max="1800" width="16.84765625" style="59" customWidth="1"/>
    <col min="1801" max="1801" width="11.5703125" style="59" customWidth="1"/>
    <col min="1802" max="1802" width="9.27734375" style="59" customWidth="1"/>
    <col min="1803" max="1803" width="9.140625" style="59" customWidth="1"/>
    <col min="1804" max="1804" width="34.5703125" style="59" customWidth="1"/>
    <col min="1805" max="1811" width="9.140625" style="59" customWidth="1"/>
    <col min="1812" max="1812" width="35.7109375" style="59" customWidth="1"/>
    <col min="1813" max="1813" width="9.140625" style="59" customWidth="1"/>
    <col min="1814" max="1814" width="11" style="59" customWidth="1"/>
    <col min="1815" max="2048" width="9.140625" style="59" customWidth="1"/>
    <col min="2049" max="2049" width="54.84765625" style="59" customWidth="1"/>
    <col min="2050" max="2050" width="12" style="59" customWidth="1"/>
    <col min="2051" max="2051" width="10.5703125" style="59" customWidth="1"/>
    <col min="2052" max="2052" width="78" style="59" customWidth="1"/>
    <col min="2053" max="2053" width="46.27734375" style="59" customWidth="1"/>
    <col min="2054" max="2054" width="20" style="59" customWidth="1"/>
    <col min="2055" max="2055" width="12" style="59" customWidth="1"/>
    <col min="2056" max="2056" width="16.84765625" style="59" customWidth="1"/>
    <col min="2057" max="2057" width="11.5703125" style="59" customWidth="1"/>
    <col min="2058" max="2058" width="9.27734375" style="59" customWidth="1"/>
    <col min="2059" max="2059" width="9.140625" style="59" customWidth="1"/>
    <col min="2060" max="2060" width="34.5703125" style="59" customWidth="1"/>
    <col min="2061" max="2067" width="9.140625" style="59" customWidth="1"/>
    <col min="2068" max="2068" width="35.7109375" style="59" customWidth="1"/>
    <col min="2069" max="2069" width="9.140625" style="59" customWidth="1"/>
    <col min="2070" max="2070" width="11" style="59" customWidth="1"/>
    <col min="2071" max="2304" width="9.140625" style="59" customWidth="1"/>
    <col min="2305" max="2305" width="54.84765625" style="59" customWidth="1"/>
    <col min="2306" max="2306" width="12" style="59" customWidth="1"/>
    <col min="2307" max="2307" width="10.5703125" style="59" customWidth="1"/>
    <col min="2308" max="2308" width="78" style="59" customWidth="1"/>
    <col min="2309" max="2309" width="46.27734375" style="59" customWidth="1"/>
    <col min="2310" max="2310" width="20" style="59" customWidth="1"/>
    <col min="2311" max="2311" width="12" style="59" customWidth="1"/>
    <col min="2312" max="2312" width="16.84765625" style="59" customWidth="1"/>
    <col min="2313" max="2313" width="11.5703125" style="59" customWidth="1"/>
    <col min="2314" max="2314" width="9.27734375" style="59" customWidth="1"/>
    <col min="2315" max="2315" width="9.140625" style="59" customWidth="1"/>
    <col min="2316" max="2316" width="34.5703125" style="59" customWidth="1"/>
    <col min="2317" max="2323" width="9.140625" style="59" customWidth="1"/>
    <col min="2324" max="2324" width="35.7109375" style="59" customWidth="1"/>
    <col min="2325" max="2325" width="9.140625" style="59" customWidth="1"/>
    <col min="2326" max="2326" width="11" style="59" customWidth="1"/>
    <col min="2327" max="2560" width="9.140625" style="59" customWidth="1"/>
    <col min="2561" max="2561" width="54.84765625" style="59" customWidth="1"/>
    <col min="2562" max="2562" width="12" style="59" customWidth="1"/>
    <col min="2563" max="2563" width="10.5703125" style="59" customWidth="1"/>
    <col min="2564" max="2564" width="78" style="59" customWidth="1"/>
    <col min="2565" max="2565" width="46.27734375" style="59" customWidth="1"/>
    <col min="2566" max="2566" width="20" style="59" customWidth="1"/>
    <col min="2567" max="2567" width="12" style="59" customWidth="1"/>
    <col min="2568" max="2568" width="16.84765625" style="59" customWidth="1"/>
    <col min="2569" max="2569" width="11.5703125" style="59" customWidth="1"/>
    <col min="2570" max="2570" width="9.27734375" style="59" customWidth="1"/>
    <col min="2571" max="2571" width="9.140625" style="59" customWidth="1"/>
    <col min="2572" max="2572" width="34.5703125" style="59" customWidth="1"/>
    <col min="2573" max="2579" width="9.140625" style="59" customWidth="1"/>
    <col min="2580" max="2580" width="35.7109375" style="59" customWidth="1"/>
    <col min="2581" max="2581" width="9.140625" style="59" customWidth="1"/>
    <col min="2582" max="2582" width="11" style="59" customWidth="1"/>
    <col min="2583" max="2816" width="9.140625" style="59" customWidth="1"/>
    <col min="2817" max="2817" width="54.84765625" style="59" customWidth="1"/>
    <col min="2818" max="2818" width="12" style="59" customWidth="1"/>
    <col min="2819" max="2819" width="10.5703125" style="59" customWidth="1"/>
    <col min="2820" max="2820" width="78" style="59" customWidth="1"/>
    <col min="2821" max="2821" width="46.27734375" style="59" customWidth="1"/>
    <col min="2822" max="2822" width="20" style="59" customWidth="1"/>
    <col min="2823" max="2823" width="12" style="59" customWidth="1"/>
    <col min="2824" max="2824" width="16.84765625" style="59" customWidth="1"/>
    <col min="2825" max="2825" width="11.5703125" style="59" customWidth="1"/>
    <col min="2826" max="2826" width="9.27734375" style="59" customWidth="1"/>
    <col min="2827" max="2827" width="9.140625" style="59" customWidth="1"/>
    <col min="2828" max="2828" width="34.5703125" style="59" customWidth="1"/>
    <col min="2829" max="2835" width="9.140625" style="59" customWidth="1"/>
    <col min="2836" max="2836" width="35.7109375" style="59" customWidth="1"/>
    <col min="2837" max="2837" width="9.140625" style="59" customWidth="1"/>
    <col min="2838" max="2838" width="11" style="59" customWidth="1"/>
    <col min="2839" max="3072" width="9.140625" style="59" customWidth="1"/>
    <col min="3073" max="3073" width="54.84765625" style="59" customWidth="1"/>
    <col min="3074" max="3074" width="12" style="59" customWidth="1"/>
    <col min="3075" max="3075" width="10.5703125" style="59" customWidth="1"/>
    <col min="3076" max="3076" width="78" style="59" customWidth="1"/>
    <col min="3077" max="3077" width="46.27734375" style="59" customWidth="1"/>
    <col min="3078" max="3078" width="20" style="59" customWidth="1"/>
    <col min="3079" max="3079" width="12" style="59" customWidth="1"/>
    <col min="3080" max="3080" width="16.84765625" style="59" customWidth="1"/>
    <col min="3081" max="3081" width="11.5703125" style="59" customWidth="1"/>
    <col min="3082" max="3082" width="9.27734375" style="59" customWidth="1"/>
    <col min="3083" max="3083" width="9.140625" style="59" customWidth="1"/>
    <col min="3084" max="3084" width="34.5703125" style="59" customWidth="1"/>
    <col min="3085" max="3091" width="9.140625" style="59" customWidth="1"/>
    <col min="3092" max="3092" width="35.7109375" style="59" customWidth="1"/>
    <col min="3093" max="3093" width="9.140625" style="59" customWidth="1"/>
    <col min="3094" max="3094" width="11" style="59" customWidth="1"/>
    <col min="3095" max="3328" width="9.140625" style="59" customWidth="1"/>
    <col min="3329" max="3329" width="54.84765625" style="59" customWidth="1"/>
    <col min="3330" max="3330" width="12" style="59" customWidth="1"/>
    <col min="3331" max="3331" width="10.5703125" style="59" customWidth="1"/>
    <col min="3332" max="3332" width="78" style="59" customWidth="1"/>
    <col min="3333" max="3333" width="46.27734375" style="59" customWidth="1"/>
    <col min="3334" max="3334" width="20" style="59" customWidth="1"/>
    <col min="3335" max="3335" width="12" style="59" customWidth="1"/>
    <col min="3336" max="3336" width="16.84765625" style="59" customWidth="1"/>
    <col min="3337" max="3337" width="11.5703125" style="59" customWidth="1"/>
    <col min="3338" max="3338" width="9.27734375" style="59" customWidth="1"/>
    <col min="3339" max="3339" width="9.140625" style="59" customWidth="1"/>
    <col min="3340" max="3340" width="34.5703125" style="59" customWidth="1"/>
    <col min="3341" max="3347" width="9.140625" style="59" customWidth="1"/>
    <col min="3348" max="3348" width="35.7109375" style="59" customWidth="1"/>
    <col min="3349" max="3349" width="9.140625" style="59" customWidth="1"/>
    <col min="3350" max="3350" width="11" style="59" customWidth="1"/>
    <col min="3351" max="3584" width="9.140625" style="59" customWidth="1"/>
    <col min="3585" max="3585" width="54.84765625" style="59" customWidth="1"/>
    <col min="3586" max="3586" width="12" style="59" customWidth="1"/>
    <col min="3587" max="3587" width="10.5703125" style="59" customWidth="1"/>
    <col min="3588" max="3588" width="78" style="59" customWidth="1"/>
    <col min="3589" max="3589" width="46.27734375" style="59" customWidth="1"/>
    <col min="3590" max="3590" width="20" style="59" customWidth="1"/>
    <col min="3591" max="3591" width="12" style="59" customWidth="1"/>
    <col min="3592" max="3592" width="16.84765625" style="59" customWidth="1"/>
    <col min="3593" max="3593" width="11.5703125" style="59" customWidth="1"/>
    <col min="3594" max="3594" width="9.27734375" style="59" customWidth="1"/>
    <col min="3595" max="3595" width="9.140625" style="59" customWidth="1"/>
    <col min="3596" max="3596" width="34.5703125" style="59" customWidth="1"/>
    <col min="3597" max="3603" width="9.140625" style="59" customWidth="1"/>
    <col min="3604" max="3604" width="35.7109375" style="59" customWidth="1"/>
    <col min="3605" max="3605" width="9.140625" style="59" customWidth="1"/>
    <col min="3606" max="3606" width="11" style="59" customWidth="1"/>
    <col min="3607" max="3840" width="9.140625" style="59" customWidth="1"/>
    <col min="3841" max="3841" width="54.84765625" style="59" customWidth="1"/>
    <col min="3842" max="3842" width="12" style="59" customWidth="1"/>
    <col min="3843" max="3843" width="10.5703125" style="59" customWidth="1"/>
    <col min="3844" max="3844" width="78" style="59" customWidth="1"/>
    <col min="3845" max="3845" width="46.27734375" style="59" customWidth="1"/>
    <col min="3846" max="3846" width="20" style="59" customWidth="1"/>
    <col min="3847" max="3847" width="12" style="59" customWidth="1"/>
    <col min="3848" max="3848" width="16.84765625" style="59" customWidth="1"/>
    <col min="3849" max="3849" width="11.5703125" style="59" customWidth="1"/>
    <col min="3850" max="3850" width="9.27734375" style="59" customWidth="1"/>
    <col min="3851" max="3851" width="9.140625" style="59" customWidth="1"/>
    <col min="3852" max="3852" width="34.5703125" style="59" customWidth="1"/>
    <col min="3853" max="3859" width="9.140625" style="59" customWidth="1"/>
    <col min="3860" max="3860" width="35.7109375" style="59" customWidth="1"/>
    <col min="3861" max="3861" width="9.140625" style="59" customWidth="1"/>
    <col min="3862" max="3862" width="11" style="59" customWidth="1"/>
    <col min="3863" max="4096" width="9.140625" style="59" customWidth="1"/>
    <col min="4097" max="4097" width="54.84765625" style="59" customWidth="1"/>
    <col min="4098" max="4098" width="12" style="59" customWidth="1"/>
    <col min="4099" max="4099" width="10.5703125" style="59" customWidth="1"/>
    <col min="4100" max="4100" width="78" style="59" customWidth="1"/>
    <col min="4101" max="4101" width="46.27734375" style="59" customWidth="1"/>
    <col min="4102" max="4102" width="20" style="59" customWidth="1"/>
    <col min="4103" max="4103" width="12" style="59" customWidth="1"/>
    <col min="4104" max="4104" width="16.84765625" style="59" customWidth="1"/>
    <col min="4105" max="4105" width="11.5703125" style="59" customWidth="1"/>
    <col min="4106" max="4106" width="9.27734375" style="59" customWidth="1"/>
    <col min="4107" max="4107" width="9.140625" style="59" customWidth="1"/>
    <col min="4108" max="4108" width="34.5703125" style="59" customWidth="1"/>
    <col min="4109" max="4115" width="9.140625" style="59" customWidth="1"/>
    <col min="4116" max="4116" width="35.7109375" style="59" customWidth="1"/>
    <col min="4117" max="4117" width="9.140625" style="59" customWidth="1"/>
    <col min="4118" max="4118" width="11" style="59" customWidth="1"/>
    <col min="4119" max="4352" width="9.140625" style="59" customWidth="1"/>
    <col min="4353" max="4353" width="54.84765625" style="59" customWidth="1"/>
    <col min="4354" max="4354" width="12" style="59" customWidth="1"/>
    <col min="4355" max="4355" width="10.5703125" style="59" customWidth="1"/>
    <col min="4356" max="4356" width="78" style="59" customWidth="1"/>
    <col min="4357" max="4357" width="46.27734375" style="59" customWidth="1"/>
    <col min="4358" max="4358" width="20" style="59" customWidth="1"/>
    <col min="4359" max="4359" width="12" style="59" customWidth="1"/>
    <col min="4360" max="4360" width="16.84765625" style="59" customWidth="1"/>
    <col min="4361" max="4361" width="11.5703125" style="59" customWidth="1"/>
    <col min="4362" max="4362" width="9.27734375" style="59" customWidth="1"/>
    <col min="4363" max="4363" width="9.140625" style="59" customWidth="1"/>
    <col min="4364" max="4364" width="34.5703125" style="59" customWidth="1"/>
    <col min="4365" max="4371" width="9.140625" style="59" customWidth="1"/>
    <col min="4372" max="4372" width="35.7109375" style="59" customWidth="1"/>
    <col min="4373" max="4373" width="9.140625" style="59" customWidth="1"/>
    <col min="4374" max="4374" width="11" style="59" customWidth="1"/>
    <col min="4375" max="4608" width="9.140625" style="59" customWidth="1"/>
    <col min="4609" max="4609" width="54.84765625" style="59" customWidth="1"/>
    <col min="4610" max="4610" width="12" style="59" customWidth="1"/>
    <col min="4611" max="4611" width="10.5703125" style="59" customWidth="1"/>
    <col min="4612" max="4612" width="78" style="59" customWidth="1"/>
    <col min="4613" max="4613" width="46.27734375" style="59" customWidth="1"/>
    <col min="4614" max="4614" width="20" style="59" customWidth="1"/>
    <col min="4615" max="4615" width="12" style="59" customWidth="1"/>
    <col min="4616" max="4616" width="16.84765625" style="59" customWidth="1"/>
    <col min="4617" max="4617" width="11.5703125" style="59" customWidth="1"/>
    <col min="4618" max="4618" width="9.27734375" style="59" customWidth="1"/>
    <col min="4619" max="4619" width="9.140625" style="59" customWidth="1"/>
    <col min="4620" max="4620" width="34.5703125" style="59" customWidth="1"/>
    <col min="4621" max="4627" width="9.140625" style="59" customWidth="1"/>
    <col min="4628" max="4628" width="35.7109375" style="59" customWidth="1"/>
    <col min="4629" max="4629" width="9.140625" style="59" customWidth="1"/>
    <col min="4630" max="4630" width="11" style="59" customWidth="1"/>
    <col min="4631" max="4864" width="9.140625" style="59" customWidth="1"/>
    <col min="4865" max="4865" width="54.84765625" style="59" customWidth="1"/>
    <col min="4866" max="4866" width="12" style="59" customWidth="1"/>
    <col min="4867" max="4867" width="10.5703125" style="59" customWidth="1"/>
    <col min="4868" max="4868" width="78" style="59" customWidth="1"/>
    <col min="4869" max="4869" width="46.27734375" style="59" customWidth="1"/>
    <col min="4870" max="4870" width="20" style="59" customWidth="1"/>
    <col min="4871" max="4871" width="12" style="59" customWidth="1"/>
    <col min="4872" max="4872" width="16.84765625" style="59" customWidth="1"/>
    <col min="4873" max="4873" width="11.5703125" style="59" customWidth="1"/>
    <col min="4874" max="4874" width="9.27734375" style="59" customWidth="1"/>
    <col min="4875" max="4875" width="9.140625" style="59" customWidth="1"/>
    <col min="4876" max="4876" width="34.5703125" style="59" customWidth="1"/>
    <col min="4877" max="4883" width="9.140625" style="59" customWidth="1"/>
    <col min="4884" max="4884" width="35.7109375" style="59" customWidth="1"/>
    <col min="4885" max="4885" width="9.140625" style="59" customWidth="1"/>
    <col min="4886" max="4886" width="11" style="59" customWidth="1"/>
    <col min="4887" max="5120" width="9.140625" style="59" customWidth="1"/>
    <col min="5121" max="5121" width="54.84765625" style="59" customWidth="1"/>
    <col min="5122" max="5122" width="12" style="59" customWidth="1"/>
    <col min="5123" max="5123" width="10.5703125" style="59" customWidth="1"/>
    <col min="5124" max="5124" width="78" style="59" customWidth="1"/>
    <col min="5125" max="5125" width="46.27734375" style="59" customWidth="1"/>
    <col min="5126" max="5126" width="20" style="59" customWidth="1"/>
    <col min="5127" max="5127" width="12" style="59" customWidth="1"/>
    <col min="5128" max="5128" width="16.84765625" style="59" customWidth="1"/>
    <col min="5129" max="5129" width="11.5703125" style="59" customWidth="1"/>
    <col min="5130" max="5130" width="9.27734375" style="59" customWidth="1"/>
    <col min="5131" max="5131" width="9.140625" style="59" customWidth="1"/>
    <col min="5132" max="5132" width="34.5703125" style="59" customWidth="1"/>
    <col min="5133" max="5139" width="9.140625" style="59" customWidth="1"/>
    <col min="5140" max="5140" width="35.7109375" style="59" customWidth="1"/>
    <col min="5141" max="5141" width="9.140625" style="59" customWidth="1"/>
    <col min="5142" max="5142" width="11" style="59" customWidth="1"/>
    <col min="5143" max="5376" width="9.140625" style="59" customWidth="1"/>
    <col min="5377" max="5377" width="54.84765625" style="59" customWidth="1"/>
    <col min="5378" max="5378" width="12" style="59" customWidth="1"/>
    <col min="5379" max="5379" width="10.5703125" style="59" customWidth="1"/>
    <col min="5380" max="5380" width="78" style="59" customWidth="1"/>
    <col min="5381" max="5381" width="46.27734375" style="59" customWidth="1"/>
    <col min="5382" max="5382" width="20" style="59" customWidth="1"/>
    <col min="5383" max="5383" width="12" style="59" customWidth="1"/>
    <col min="5384" max="5384" width="16.84765625" style="59" customWidth="1"/>
    <col min="5385" max="5385" width="11.5703125" style="59" customWidth="1"/>
    <col min="5386" max="5386" width="9.27734375" style="59" customWidth="1"/>
    <col min="5387" max="5387" width="9.140625" style="59" customWidth="1"/>
    <col min="5388" max="5388" width="34.5703125" style="59" customWidth="1"/>
    <col min="5389" max="5395" width="9.140625" style="59" customWidth="1"/>
    <col min="5396" max="5396" width="35.7109375" style="59" customWidth="1"/>
    <col min="5397" max="5397" width="9.140625" style="59" customWidth="1"/>
    <col min="5398" max="5398" width="11" style="59" customWidth="1"/>
    <col min="5399" max="5632" width="9.140625" style="59" customWidth="1"/>
    <col min="5633" max="5633" width="54.84765625" style="59" customWidth="1"/>
    <col min="5634" max="5634" width="12" style="59" customWidth="1"/>
    <col min="5635" max="5635" width="10.5703125" style="59" customWidth="1"/>
    <col min="5636" max="5636" width="78" style="59" customWidth="1"/>
    <col min="5637" max="5637" width="46.27734375" style="59" customWidth="1"/>
    <col min="5638" max="5638" width="20" style="59" customWidth="1"/>
    <col min="5639" max="5639" width="12" style="59" customWidth="1"/>
    <col min="5640" max="5640" width="16.84765625" style="59" customWidth="1"/>
    <col min="5641" max="5641" width="11.5703125" style="59" customWidth="1"/>
    <col min="5642" max="5642" width="9.27734375" style="59" customWidth="1"/>
    <col min="5643" max="5643" width="9.140625" style="59" customWidth="1"/>
    <col min="5644" max="5644" width="34.5703125" style="59" customWidth="1"/>
    <col min="5645" max="5651" width="9.140625" style="59" customWidth="1"/>
    <col min="5652" max="5652" width="35.7109375" style="59" customWidth="1"/>
    <col min="5653" max="5653" width="9.140625" style="59" customWidth="1"/>
    <col min="5654" max="5654" width="11" style="59" customWidth="1"/>
    <col min="5655" max="5888" width="9.140625" style="59" customWidth="1"/>
    <col min="5889" max="5889" width="54.84765625" style="59" customWidth="1"/>
    <col min="5890" max="5890" width="12" style="59" customWidth="1"/>
    <col min="5891" max="5891" width="10.5703125" style="59" customWidth="1"/>
    <col min="5892" max="5892" width="78" style="59" customWidth="1"/>
    <col min="5893" max="5893" width="46.27734375" style="59" customWidth="1"/>
    <col min="5894" max="5894" width="20" style="59" customWidth="1"/>
    <col min="5895" max="5895" width="12" style="59" customWidth="1"/>
    <col min="5896" max="5896" width="16.84765625" style="59" customWidth="1"/>
    <col min="5897" max="5897" width="11.5703125" style="59" customWidth="1"/>
    <col min="5898" max="5898" width="9.27734375" style="59" customWidth="1"/>
    <col min="5899" max="5899" width="9.140625" style="59" customWidth="1"/>
    <col min="5900" max="5900" width="34.5703125" style="59" customWidth="1"/>
    <col min="5901" max="5907" width="9.140625" style="59" customWidth="1"/>
    <col min="5908" max="5908" width="35.7109375" style="59" customWidth="1"/>
    <col min="5909" max="5909" width="9.140625" style="59" customWidth="1"/>
    <col min="5910" max="5910" width="11" style="59" customWidth="1"/>
    <col min="5911" max="6144" width="9.140625" style="59" customWidth="1"/>
    <col min="6145" max="6145" width="54.84765625" style="59" customWidth="1"/>
    <col min="6146" max="6146" width="12" style="59" customWidth="1"/>
    <col min="6147" max="6147" width="10.5703125" style="59" customWidth="1"/>
    <col min="6148" max="6148" width="78" style="59" customWidth="1"/>
    <col min="6149" max="6149" width="46.27734375" style="59" customWidth="1"/>
    <col min="6150" max="6150" width="20" style="59" customWidth="1"/>
    <col min="6151" max="6151" width="12" style="59" customWidth="1"/>
    <col min="6152" max="6152" width="16.84765625" style="59" customWidth="1"/>
    <col min="6153" max="6153" width="11.5703125" style="59" customWidth="1"/>
    <col min="6154" max="6154" width="9.27734375" style="59" customWidth="1"/>
    <col min="6155" max="6155" width="9.140625" style="59" customWidth="1"/>
    <col min="6156" max="6156" width="34.5703125" style="59" customWidth="1"/>
    <col min="6157" max="6163" width="9.140625" style="59" customWidth="1"/>
    <col min="6164" max="6164" width="35.7109375" style="59" customWidth="1"/>
    <col min="6165" max="6165" width="9.140625" style="59" customWidth="1"/>
    <col min="6166" max="6166" width="11" style="59" customWidth="1"/>
    <col min="6167" max="6400" width="9.140625" style="59" customWidth="1"/>
    <col min="6401" max="6401" width="54.84765625" style="59" customWidth="1"/>
    <col min="6402" max="6402" width="12" style="59" customWidth="1"/>
    <col min="6403" max="6403" width="10.5703125" style="59" customWidth="1"/>
    <col min="6404" max="6404" width="78" style="59" customWidth="1"/>
    <col min="6405" max="6405" width="46.27734375" style="59" customWidth="1"/>
    <col min="6406" max="6406" width="20" style="59" customWidth="1"/>
    <col min="6407" max="6407" width="12" style="59" customWidth="1"/>
    <col min="6408" max="6408" width="16.84765625" style="59" customWidth="1"/>
    <col min="6409" max="6409" width="11.5703125" style="59" customWidth="1"/>
    <col min="6410" max="6410" width="9.27734375" style="59" customWidth="1"/>
    <col min="6411" max="6411" width="9.140625" style="59" customWidth="1"/>
    <col min="6412" max="6412" width="34.5703125" style="59" customWidth="1"/>
    <col min="6413" max="6419" width="9.140625" style="59" customWidth="1"/>
    <col min="6420" max="6420" width="35.7109375" style="59" customWidth="1"/>
    <col min="6421" max="6421" width="9.140625" style="59" customWidth="1"/>
    <col min="6422" max="6422" width="11" style="59" customWidth="1"/>
    <col min="6423" max="6656" width="9.140625" style="59" customWidth="1"/>
    <col min="6657" max="6657" width="54.84765625" style="59" customWidth="1"/>
    <col min="6658" max="6658" width="12" style="59" customWidth="1"/>
    <col min="6659" max="6659" width="10.5703125" style="59" customWidth="1"/>
    <col min="6660" max="6660" width="78" style="59" customWidth="1"/>
    <col min="6661" max="6661" width="46.27734375" style="59" customWidth="1"/>
    <col min="6662" max="6662" width="20" style="59" customWidth="1"/>
    <col min="6663" max="6663" width="12" style="59" customWidth="1"/>
    <col min="6664" max="6664" width="16.84765625" style="59" customWidth="1"/>
    <col min="6665" max="6665" width="11.5703125" style="59" customWidth="1"/>
    <col min="6666" max="6666" width="9.27734375" style="59" customWidth="1"/>
    <col min="6667" max="6667" width="9.140625" style="59" customWidth="1"/>
    <col min="6668" max="6668" width="34.5703125" style="59" customWidth="1"/>
    <col min="6669" max="6675" width="9.140625" style="59" customWidth="1"/>
    <col min="6676" max="6676" width="35.7109375" style="59" customWidth="1"/>
    <col min="6677" max="6677" width="9.140625" style="59" customWidth="1"/>
    <col min="6678" max="6678" width="11" style="59" customWidth="1"/>
    <col min="6679" max="6912" width="9.140625" style="59" customWidth="1"/>
    <col min="6913" max="6913" width="54.84765625" style="59" customWidth="1"/>
    <col min="6914" max="6914" width="12" style="59" customWidth="1"/>
    <col min="6915" max="6915" width="10.5703125" style="59" customWidth="1"/>
    <col min="6916" max="6916" width="78" style="59" customWidth="1"/>
    <col min="6917" max="6917" width="46.27734375" style="59" customWidth="1"/>
    <col min="6918" max="6918" width="20" style="59" customWidth="1"/>
    <col min="6919" max="6919" width="12" style="59" customWidth="1"/>
    <col min="6920" max="6920" width="16.84765625" style="59" customWidth="1"/>
    <col min="6921" max="6921" width="11.5703125" style="59" customWidth="1"/>
    <col min="6922" max="6922" width="9.27734375" style="59" customWidth="1"/>
    <col min="6923" max="6923" width="9.140625" style="59" customWidth="1"/>
    <col min="6924" max="6924" width="34.5703125" style="59" customWidth="1"/>
    <col min="6925" max="6931" width="9.140625" style="59" customWidth="1"/>
    <col min="6932" max="6932" width="35.7109375" style="59" customWidth="1"/>
    <col min="6933" max="6933" width="9.140625" style="59" customWidth="1"/>
    <col min="6934" max="6934" width="11" style="59" customWidth="1"/>
    <col min="6935" max="7168" width="9.140625" style="59" customWidth="1"/>
    <col min="7169" max="7169" width="54.84765625" style="59" customWidth="1"/>
    <col min="7170" max="7170" width="12" style="59" customWidth="1"/>
    <col min="7171" max="7171" width="10.5703125" style="59" customWidth="1"/>
    <col min="7172" max="7172" width="78" style="59" customWidth="1"/>
    <col min="7173" max="7173" width="46.27734375" style="59" customWidth="1"/>
    <col min="7174" max="7174" width="20" style="59" customWidth="1"/>
    <col min="7175" max="7175" width="12" style="59" customWidth="1"/>
    <col min="7176" max="7176" width="16.84765625" style="59" customWidth="1"/>
    <col min="7177" max="7177" width="11.5703125" style="59" customWidth="1"/>
    <col min="7178" max="7178" width="9.27734375" style="59" customWidth="1"/>
    <col min="7179" max="7179" width="9.140625" style="59" customWidth="1"/>
    <col min="7180" max="7180" width="34.5703125" style="59" customWidth="1"/>
    <col min="7181" max="7187" width="9.140625" style="59" customWidth="1"/>
    <col min="7188" max="7188" width="35.7109375" style="59" customWidth="1"/>
    <col min="7189" max="7189" width="9.140625" style="59" customWidth="1"/>
    <col min="7190" max="7190" width="11" style="59" customWidth="1"/>
    <col min="7191" max="7424" width="9.140625" style="59" customWidth="1"/>
    <col min="7425" max="7425" width="54.84765625" style="59" customWidth="1"/>
    <col min="7426" max="7426" width="12" style="59" customWidth="1"/>
    <col min="7427" max="7427" width="10.5703125" style="59" customWidth="1"/>
    <col min="7428" max="7428" width="78" style="59" customWidth="1"/>
    <col min="7429" max="7429" width="46.27734375" style="59" customWidth="1"/>
    <col min="7430" max="7430" width="20" style="59" customWidth="1"/>
    <col min="7431" max="7431" width="12" style="59" customWidth="1"/>
    <col min="7432" max="7432" width="16.84765625" style="59" customWidth="1"/>
    <col min="7433" max="7433" width="11.5703125" style="59" customWidth="1"/>
    <col min="7434" max="7434" width="9.27734375" style="59" customWidth="1"/>
    <col min="7435" max="7435" width="9.140625" style="59" customWidth="1"/>
    <col min="7436" max="7436" width="34.5703125" style="59" customWidth="1"/>
    <col min="7437" max="7443" width="9.140625" style="59" customWidth="1"/>
    <col min="7444" max="7444" width="35.7109375" style="59" customWidth="1"/>
    <col min="7445" max="7445" width="9.140625" style="59" customWidth="1"/>
    <col min="7446" max="7446" width="11" style="59" customWidth="1"/>
    <col min="7447" max="7680" width="9.140625" style="59" customWidth="1"/>
    <col min="7681" max="7681" width="54.84765625" style="59" customWidth="1"/>
    <col min="7682" max="7682" width="12" style="59" customWidth="1"/>
    <col min="7683" max="7683" width="10.5703125" style="59" customWidth="1"/>
    <col min="7684" max="7684" width="78" style="59" customWidth="1"/>
    <col min="7685" max="7685" width="46.27734375" style="59" customWidth="1"/>
    <col min="7686" max="7686" width="20" style="59" customWidth="1"/>
    <col min="7687" max="7687" width="12" style="59" customWidth="1"/>
    <col min="7688" max="7688" width="16.84765625" style="59" customWidth="1"/>
    <col min="7689" max="7689" width="11.5703125" style="59" customWidth="1"/>
    <col min="7690" max="7690" width="9.27734375" style="59" customWidth="1"/>
    <col min="7691" max="7691" width="9.140625" style="59" customWidth="1"/>
    <col min="7692" max="7692" width="34.5703125" style="59" customWidth="1"/>
    <col min="7693" max="7699" width="9.140625" style="59" customWidth="1"/>
    <col min="7700" max="7700" width="35.7109375" style="59" customWidth="1"/>
    <col min="7701" max="7701" width="9.140625" style="59" customWidth="1"/>
    <col min="7702" max="7702" width="11" style="59" customWidth="1"/>
    <col min="7703" max="7936" width="9.140625" style="59" customWidth="1"/>
    <col min="7937" max="7937" width="54.84765625" style="59" customWidth="1"/>
    <col min="7938" max="7938" width="12" style="59" customWidth="1"/>
    <col min="7939" max="7939" width="10.5703125" style="59" customWidth="1"/>
    <col min="7940" max="7940" width="78" style="59" customWidth="1"/>
    <col min="7941" max="7941" width="46.27734375" style="59" customWidth="1"/>
    <col min="7942" max="7942" width="20" style="59" customWidth="1"/>
    <col min="7943" max="7943" width="12" style="59" customWidth="1"/>
    <col min="7944" max="7944" width="16.84765625" style="59" customWidth="1"/>
    <col min="7945" max="7945" width="11.5703125" style="59" customWidth="1"/>
    <col min="7946" max="7946" width="9.27734375" style="59" customWidth="1"/>
    <col min="7947" max="7947" width="9.140625" style="59" customWidth="1"/>
    <col min="7948" max="7948" width="34.5703125" style="59" customWidth="1"/>
    <col min="7949" max="7955" width="9.140625" style="59" customWidth="1"/>
    <col min="7956" max="7956" width="35.7109375" style="59" customWidth="1"/>
    <col min="7957" max="7957" width="9.140625" style="59" customWidth="1"/>
    <col min="7958" max="7958" width="11" style="59" customWidth="1"/>
    <col min="7959" max="8192" width="9.140625" style="59" customWidth="1"/>
    <col min="8193" max="8193" width="54.84765625" style="59" customWidth="1"/>
    <col min="8194" max="8194" width="12" style="59" customWidth="1"/>
    <col min="8195" max="8195" width="10.5703125" style="59" customWidth="1"/>
    <col min="8196" max="8196" width="78" style="59" customWidth="1"/>
    <col min="8197" max="8197" width="46.27734375" style="59" customWidth="1"/>
    <col min="8198" max="8198" width="20" style="59" customWidth="1"/>
    <col min="8199" max="8199" width="12" style="59" customWidth="1"/>
    <col min="8200" max="8200" width="16.84765625" style="59" customWidth="1"/>
    <col min="8201" max="8201" width="11.5703125" style="59" customWidth="1"/>
    <col min="8202" max="8202" width="9.27734375" style="59" customWidth="1"/>
    <col min="8203" max="8203" width="9.140625" style="59" customWidth="1"/>
    <col min="8204" max="8204" width="34.5703125" style="59" customWidth="1"/>
    <col min="8205" max="8211" width="9.140625" style="59" customWidth="1"/>
    <col min="8212" max="8212" width="35.7109375" style="59" customWidth="1"/>
    <col min="8213" max="8213" width="9.140625" style="59" customWidth="1"/>
    <col min="8214" max="8214" width="11" style="59" customWidth="1"/>
    <col min="8215" max="8448" width="9.140625" style="59" customWidth="1"/>
    <col min="8449" max="8449" width="54.84765625" style="59" customWidth="1"/>
    <col min="8450" max="8450" width="12" style="59" customWidth="1"/>
    <col min="8451" max="8451" width="10.5703125" style="59" customWidth="1"/>
    <col min="8452" max="8452" width="78" style="59" customWidth="1"/>
    <col min="8453" max="8453" width="46.27734375" style="59" customWidth="1"/>
    <col min="8454" max="8454" width="20" style="59" customWidth="1"/>
    <col min="8455" max="8455" width="12" style="59" customWidth="1"/>
    <col min="8456" max="8456" width="16.84765625" style="59" customWidth="1"/>
    <col min="8457" max="8457" width="11.5703125" style="59" customWidth="1"/>
    <col min="8458" max="8458" width="9.27734375" style="59" customWidth="1"/>
    <col min="8459" max="8459" width="9.140625" style="59" customWidth="1"/>
    <col min="8460" max="8460" width="34.5703125" style="59" customWidth="1"/>
    <col min="8461" max="8467" width="9.140625" style="59" customWidth="1"/>
    <col min="8468" max="8468" width="35.7109375" style="59" customWidth="1"/>
    <col min="8469" max="8469" width="9.140625" style="59" customWidth="1"/>
    <col min="8470" max="8470" width="11" style="59" customWidth="1"/>
    <col min="8471" max="8704" width="9.140625" style="59" customWidth="1"/>
    <col min="8705" max="8705" width="54.84765625" style="59" customWidth="1"/>
    <col min="8706" max="8706" width="12" style="59" customWidth="1"/>
    <col min="8707" max="8707" width="10.5703125" style="59" customWidth="1"/>
    <col min="8708" max="8708" width="78" style="59" customWidth="1"/>
    <col min="8709" max="8709" width="46.27734375" style="59" customWidth="1"/>
    <col min="8710" max="8710" width="20" style="59" customWidth="1"/>
    <col min="8711" max="8711" width="12" style="59" customWidth="1"/>
    <col min="8712" max="8712" width="16.84765625" style="59" customWidth="1"/>
    <col min="8713" max="8713" width="11.5703125" style="59" customWidth="1"/>
    <col min="8714" max="8714" width="9.27734375" style="59" customWidth="1"/>
    <col min="8715" max="8715" width="9.140625" style="59" customWidth="1"/>
    <col min="8716" max="8716" width="34.5703125" style="59" customWidth="1"/>
    <col min="8717" max="8723" width="9.140625" style="59" customWidth="1"/>
    <col min="8724" max="8724" width="35.7109375" style="59" customWidth="1"/>
    <col min="8725" max="8725" width="9.140625" style="59" customWidth="1"/>
    <col min="8726" max="8726" width="11" style="59" customWidth="1"/>
    <col min="8727" max="8960" width="9.140625" style="59" customWidth="1"/>
    <col min="8961" max="8961" width="54.84765625" style="59" customWidth="1"/>
    <col min="8962" max="8962" width="12" style="59" customWidth="1"/>
    <col min="8963" max="8963" width="10.5703125" style="59" customWidth="1"/>
    <col min="8964" max="8964" width="78" style="59" customWidth="1"/>
    <col min="8965" max="8965" width="46.27734375" style="59" customWidth="1"/>
    <col min="8966" max="8966" width="20" style="59" customWidth="1"/>
    <col min="8967" max="8967" width="12" style="59" customWidth="1"/>
    <col min="8968" max="8968" width="16.84765625" style="59" customWidth="1"/>
    <col min="8969" max="8969" width="11.5703125" style="59" customWidth="1"/>
    <col min="8970" max="8970" width="9.27734375" style="59" customWidth="1"/>
    <col min="8971" max="8971" width="9.140625" style="59" customWidth="1"/>
    <col min="8972" max="8972" width="34.5703125" style="59" customWidth="1"/>
    <col min="8973" max="8979" width="9.140625" style="59" customWidth="1"/>
    <col min="8980" max="8980" width="35.7109375" style="59" customWidth="1"/>
    <col min="8981" max="8981" width="9.140625" style="59" customWidth="1"/>
    <col min="8982" max="8982" width="11" style="59" customWidth="1"/>
    <col min="8983" max="9216" width="9.140625" style="59" customWidth="1"/>
    <col min="9217" max="9217" width="54.84765625" style="59" customWidth="1"/>
    <col min="9218" max="9218" width="12" style="59" customWidth="1"/>
    <col min="9219" max="9219" width="10.5703125" style="59" customWidth="1"/>
    <col min="9220" max="9220" width="78" style="59" customWidth="1"/>
    <col min="9221" max="9221" width="46.27734375" style="59" customWidth="1"/>
    <col min="9222" max="9222" width="20" style="59" customWidth="1"/>
    <col min="9223" max="9223" width="12" style="59" customWidth="1"/>
    <col min="9224" max="9224" width="16.84765625" style="59" customWidth="1"/>
    <col min="9225" max="9225" width="11.5703125" style="59" customWidth="1"/>
    <col min="9226" max="9226" width="9.27734375" style="59" customWidth="1"/>
    <col min="9227" max="9227" width="9.140625" style="59" customWidth="1"/>
    <col min="9228" max="9228" width="34.5703125" style="59" customWidth="1"/>
    <col min="9229" max="9235" width="9.140625" style="59" customWidth="1"/>
    <col min="9236" max="9236" width="35.7109375" style="59" customWidth="1"/>
    <col min="9237" max="9237" width="9.140625" style="59" customWidth="1"/>
    <col min="9238" max="9238" width="11" style="59" customWidth="1"/>
    <col min="9239" max="9472" width="9.140625" style="59" customWidth="1"/>
    <col min="9473" max="9473" width="54.84765625" style="59" customWidth="1"/>
    <col min="9474" max="9474" width="12" style="59" customWidth="1"/>
    <col min="9475" max="9475" width="10.5703125" style="59" customWidth="1"/>
    <col min="9476" max="9476" width="78" style="59" customWidth="1"/>
    <col min="9477" max="9477" width="46.27734375" style="59" customWidth="1"/>
    <col min="9478" max="9478" width="20" style="59" customWidth="1"/>
    <col min="9479" max="9479" width="12" style="59" customWidth="1"/>
    <col min="9480" max="9480" width="16.84765625" style="59" customWidth="1"/>
    <col min="9481" max="9481" width="11.5703125" style="59" customWidth="1"/>
    <col min="9482" max="9482" width="9.27734375" style="59" customWidth="1"/>
    <col min="9483" max="9483" width="9.140625" style="59" customWidth="1"/>
    <col min="9484" max="9484" width="34.5703125" style="59" customWidth="1"/>
    <col min="9485" max="9491" width="9.140625" style="59" customWidth="1"/>
    <col min="9492" max="9492" width="35.7109375" style="59" customWidth="1"/>
    <col min="9493" max="9493" width="9.140625" style="59" customWidth="1"/>
    <col min="9494" max="9494" width="11" style="59" customWidth="1"/>
    <col min="9495" max="9728" width="9.140625" style="59" customWidth="1"/>
    <col min="9729" max="9729" width="54.84765625" style="59" customWidth="1"/>
    <col min="9730" max="9730" width="12" style="59" customWidth="1"/>
    <col min="9731" max="9731" width="10.5703125" style="59" customWidth="1"/>
    <col min="9732" max="9732" width="78" style="59" customWidth="1"/>
    <col min="9733" max="9733" width="46.27734375" style="59" customWidth="1"/>
    <col min="9734" max="9734" width="20" style="59" customWidth="1"/>
    <col min="9735" max="9735" width="12" style="59" customWidth="1"/>
    <col min="9736" max="9736" width="16.84765625" style="59" customWidth="1"/>
    <col min="9737" max="9737" width="11.5703125" style="59" customWidth="1"/>
    <col min="9738" max="9738" width="9.27734375" style="59" customWidth="1"/>
    <col min="9739" max="9739" width="9.140625" style="59" customWidth="1"/>
    <col min="9740" max="9740" width="34.5703125" style="59" customWidth="1"/>
    <col min="9741" max="9747" width="9.140625" style="59" customWidth="1"/>
    <col min="9748" max="9748" width="35.7109375" style="59" customWidth="1"/>
    <col min="9749" max="9749" width="9.140625" style="59" customWidth="1"/>
    <col min="9750" max="9750" width="11" style="59" customWidth="1"/>
    <col min="9751" max="9984" width="9.140625" style="59" customWidth="1"/>
    <col min="9985" max="9985" width="54.84765625" style="59" customWidth="1"/>
    <col min="9986" max="9986" width="12" style="59" customWidth="1"/>
    <col min="9987" max="9987" width="10.5703125" style="59" customWidth="1"/>
    <col min="9988" max="9988" width="78" style="59" customWidth="1"/>
    <col min="9989" max="9989" width="46.27734375" style="59" customWidth="1"/>
    <col min="9990" max="9990" width="20" style="59" customWidth="1"/>
    <col min="9991" max="9991" width="12" style="59" customWidth="1"/>
    <col min="9992" max="9992" width="16.84765625" style="59" customWidth="1"/>
    <col min="9993" max="9993" width="11.5703125" style="59" customWidth="1"/>
    <col min="9994" max="9994" width="9.27734375" style="59" customWidth="1"/>
    <col min="9995" max="9995" width="9.140625" style="59" customWidth="1"/>
    <col min="9996" max="9996" width="34.5703125" style="59" customWidth="1"/>
    <col min="9997" max="10003" width="9.140625" style="59" customWidth="1"/>
    <col min="10004" max="10004" width="35.7109375" style="59" customWidth="1"/>
    <col min="10005" max="10005" width="9.140625" style="59" customWidth="1"/>
    <col min="10006" max="10006" width="11" style="59" customWidth="1"/>
    <col min="10007" max="10240" width="9.140625" style="59" customWidth="1"/>
    <col min="10241" max="10241" width="54.84765625" style="59" customWidth="1"/>
    <col min="10242" max="10242" width="12" style="59" customWidth="1"/>
    <col min="10243" max="10243" width="10.5703125" style="59" customWidth="1"/>
    <col min="10244" max="10244" width="78" style="59" customWidth="1"/>
    <col min="10245" max="10245" width="46.27734375" style="59" customWidth="1"/>
    <col min="10246" max="10246" width="20" style="59" customWidth="1"/>
    <col min="10247" max="10247" width="12" style="59" customWidth="1"/>
    <col min="10248" max="10248" width="16.84765625" style="59" customWidth="1"/>
    <col min="10249" max="10249" width="11.5703125" style="59" customWidth="1"/>
    <col min="10250" max="10250" width="9.27734375" style="59" customWidth="1"/>
    <col min="10251" max="10251" width="9.140625" style="59" customWidth="1"/>
    <col min="10252" max="10252" width="34.5703125" style="59" customWidth="1"/>
    <col min="10253" max="10259" width="9.140625" style="59" customWidth="1"/>
    <col min="10260" max="10260" width="35.7109375" style="59" customWidth="1"/>
    <col min="10261" max="10261" width="9.140625" style="59" customWidth="1"/>
    <col min="10262" max="10262" width="11" style="59" customWidth="1"/>
    <col min="10263" max="10496" width="9.140625" style="59" customWidth="1"/>
    <col min="10497" max="10497" width="54.84765625" style="59" customWidth="1"/>
    <col min="10498" max="10498" width="12" style="59" customWidth="1"/>
    <col min="10499" max="10499" width="10.5703125" style="59" customWidth="1"/>
    <col min="10500" max="10500" width="78" style="59" customWidth="1"/>
    <col min="10501" max="10501" width="46.27734375" style="59" customWidth="1"/>
    <col min="10502" max="10502" width="20" style="59" customWidth="1"/>
    <col min="10503" max="10503" width="12" style="59" customWidth="1"/>
    <col min="10504" max="10504" width="16.84765625" style="59" customWidth="1"/>
    <col min="10505" max="10505" width="11.5703125" style="59" customWidth="1"/>
    <col min="10506" max="10506" width="9.27734375" style="59" customWidth="1"/>
    <col min="10507" max="10507" width="9.140625" style="59" customWidth="1"/>
    <col min="10508" max="10508" width="34.5703125" style="59" customWidth="1"/>
    <col min="10509" max="10515" width="9.140625" style="59" customWidth="1"/>
    <col min="10516" max="10516" width="35.7109375" style="59" customWidth="1"/>
    <col min="10517" max="10517" width="9.140625" style="59" customWidth="1"/>
    <col min="10518" max="10518" width="11" style="59" customWidth="1"/>
    <col min="10519" max="10752" width="9.140625" style="59" customWidth="1"/>
    <col min="10753" max="10753" width="54.84765625" style="59" customWidth="1"/>
    <col min="10754" max="10754" width="12" style="59" customWidth="1"/>
    <col min="10755" max="10755" width="10.5703125" style="59" customWidth="1"/>
    <col min="10756" max="10756" width="78" style="59" customWidth="1"/>
    <col min="10757" max="10757" width="46.27734375" style="59" customWidth="1"/>
    <col min="10758" max="10758" width="20" style="59" customWidth="1"/>
    <col min="10759" max="10759" width="12" style="59" customWidth="1"/>
    <col min="10760" max="10760" width="16.84765625" style="59" customWidth="1"/>
    <col min="10761" max="10761" width="11.5703125" style="59" customWidth="1"/>
    <col min="10762" max="10762" width="9.27734375" style="59" customWidth="1"/>
    <col min="10763" max="10763" width="9.140625" style="59" customWidth="1"/>
    <col min="10764" max="10764" width="34.5703125" style="59" customWidth="1"/>
    <col min="10765" max="10771" width="9.140625" style="59" customWidth="1"/>
    <col min="10772" max="10772" width="35.7109375" style="59" customWidth="1"/>
    <col min="10773" max="10773" width="9.140625" style="59" customWidth="1"/>
    <col min="10774" max="10774" width="11" style="59" customWidth="1"/>
    <col min="10775" max="11008" width="9.140625" style="59" customWidth="1"/>
    <col min="11009" max="11009" width="54.84765625" style="59" customWidth="1"/>
    <col min="11010" max="11010" width="12" style="59" customWidth="1"/>
    <col min="11011" max="11011" width="10.5703125" style="59" customWidth="1"/>
    <col min="11012" max="11012" width="78" style="59" customWidth="1"/>
    <col min="11013" max="11013" width="46.27734375" style="59" customWidth="1"/>
    <col min="11014" max="11014" width="20" style="59" customWidth="1"/>
    <col min="11015" max="11015" width="12" style="59" customWidth="1"/>
    <col min="11016" max="11016" width="16.84765625" style="59" customWidth="1"/>
    <col min="11017" max="11017" width="11.5703125" style="59" customWidth="1"/>
    <col min="11018" max="11018" width="9.27734375" style="59" customWidth="1"/>
    <col min="11019" max="11019" width="9.140625" style="59" customWidth="1"/>
    <col min="11020" max="11020" width="34.5703125" style="59" customWidth="1"/>
    <col min="11021" max="11027" width="9.140625" style="59" customWidth="1"/>
    <col min="11028" max="11028" width="35.7109375" style="59" customWidth="1"/>
    <col min="11029" max="11029" width="9.140625" style="59" customWidth="1"/>
    <col min="11030" max="11030" width="11" style="59" customWidth="1"/>
    <col min="11031" max="11264" width="9.140625" style="59" customWidth="1"/>
    <col min="11265" max="11265" width="54.84765625" style="59" customWidth="1"/>
    <col min="11266" max="11266" width="12" style="59" customWidth="1"/>
    <col min="11267" max="11267" width="10.5703125" style="59" customWidth="1"/>
    <col min="11268" max="11268" width="78" style="59" customWidth="1"/>
    <col min="11269" max="11269" width="46.27734375" style="59" customWidth="1"/>
    <col min="11270" max="11270" width="20" style="59" customWidth="1"/>
    <col min="11271" max="11271" width="12" style="59" customWidth="1"/>
    <col min="11272" max="11272" width="16.84765625" style="59" customWidth="1"/>
    <col min="11273" max="11273" width="11.5703125" style="59" customWidth="1"/>
    <col min="11274" max="11274" width="9.27734375" style="59" customWidth="1"/>
    <col min="11275" max="11275" width="9.140625" style="59" customWidth="1"/>
    <col min="11276" max="11276" width="34.5703125" style="59" customWidth="1"/>
    <col min="11277" max="11283" width="9.140625" style="59" customWidth="1"/>
    <col min="11284" max="11284" width="35.7109375" style="59" customWidth="1"/>
    <col min="11285" max="11285" width="9.140625" style="59" customWidth="1"/>
    <col min="11286" max="11286" width="11" style="59" customWidth="1"/>
    <col min="11287" max="11520" width="9.140625" style="59" customWidth="1"/>
    <col min="11521" max="11521" width="54.84765625" style="59" customWidth="1"/>
    <col min="11522" max="11522" width="12" style="59" customWidth="1"/>
    <col min="11523" max="11523" width="10.5703125" style="59" customWidth="1"/>
    <col min="11524" max="11524" width="78" style="59" customWidth="1"/>
    <col min="11525" max="11525" width="46.27734375" style="59" customWidth="1"/>
    <col min="11526" max="11526" width="20" style="59" customWidth="1"/>
    <col min="11527" max="11527" width="12" style="59" customWidth="1"/>
    <col min="11528" max="11528" width="16.84765625" style="59" customWidth="1"/>
    <col min="11529" max="11529" width="11.5703125" style="59" customWidth="1"/>
    <col min="11530" max="11530" width="9.27734375" style="59" customWidth="1"/>
    <col min="11531" max="11531" width="9.140625" style="59" customWidth="1"/>
    <col min="11532" max="11532" width="34.5703125" style="59" customWidth="1"/>
    <col min="11533" max="11539" width="9.140625" style="59" customWidth="1"/>
    <col min="11540" max="11540" width="35.7109375" style="59" customWidth="1"/>
    <col min="11541" max="11541" width="9.140625" style="59" customWidth="1"/>
    <col min="11542" max="11542" width="11" style="59" customWidth="1"/>
    <col min="11543" max="11776" width="9.140625" style="59" customWidth="1"/>
    <col min="11777" max="11777" width="54.84765625" style="59" customWidth="1"/>
    <col min="11778" max="11778" width="12" style="59" customWidth="1"/>
    <col min="11779" max="11779" width="10.5703125" style="59" customWidth="1"/>
    <col min="11780" max="11780" width="78" style="59" customWidth="1"/>
    <col min="11781" max="11781" width="46.27734375" style="59" customWidth="1"/>
    <col min="11782" max="11782" width="20" style="59" customWidth="1"/>
    <col min="11783" max="11783" width="12" style="59" customWidth="1"/>
    <col min="11784" max="11784" width="16.84765625" style="59" customWidth="1"/>
    <col min="11785" max="11785" width="11.5703125" style="59" customWidth="1"/>
    <col min="11786" max="11786" width="9.27734375" style="59" customWidth="1"/>
    <col min="11787" max="11787" width="9.140625" style="59" customWidth="1"/>
    <col min="11788" max="11788" width="34.5703125" style="59" customWidth="1"/>
    <col min="11789" max="11795" width="9.140625" style="59" customWidth="1"/>
    <col min="11796" max="11796" width="35.7109375" style="59" customWidth="1"/>
    <col min="11797" max="11797" width="9.140625" style="59" customWidth="1"/>
    <col min="11798" max="11798" width="11" style="59" customWidth="1"/>
    <col min="11799" max="12032" width="9.140625" style="59" customWidth="1"/>
    <col min="12033" max="12033" width="54.84765625" style="59" customWidth="1"/>
    <col min="12034" max="12034" width="12" style="59" customWidth="1"/>
    <col min="12035" max="12035" width="10.5703125" style="59" customWidth="1"/>
    <col min="12036" max="12036" width="78" style="59" customWidth="1"/>
    <col min="12037" max="12037" width="46.27734375" style="59" customWidth="1"/>
    <col min="12038" max="12038" width="20" style="59" customWidth="1"/>
    <col min="12039" max="12039" width="12" style="59" customWidth="1"/>
    <col min="12040" max="12040" width="16.84765625" style="59" customWidth="1"/>
    <col min="12041" max="12041" width="11.5703125" style="59" customWidth="1"/>
    <col min="12042" max="12042" width="9.27734375" style="59" customWidth="1"/>
    <col min="12043" max="12043" width="9.140625" style="59" customWidth="1"/>
    <col min="12044" max="12044" width="34.5703125" style="59" customWidth="1"/>
    <col min="12045" max="12051" width="9.140625" style="59" customWidth="1"/>
    <col min="12052" max="12052" width="35.7109375" style="59" customWidth="1"/>
    <col min="12053" max="12053" width="9.140625" style="59" customWidth="1"/>
    <col min="12054" max="12054" width="11" style="59" customWidth="1"/>
    <col min="12055" max="12288" width="9.140625" style="59" customWidth="1"/>
    <col min="12289" max="12289" width="54.84765625" style="59" customWidth="1"/>
    <col min="12290" max="12290" width="12" style="59" customWidth="1"/>
    <col min="12291" max="12291" width="10.5703125" style="59" customWidth="1"/>
    <col min="12292" max="12292" width="78" style="59" customWidth="1"/>
    <col min="12293" max="12293" width="46.27734375" style="59" customWidth="1"/>
    <col min="12294" max="12294" width="20" style="59" customWidth="1"/>
    <col min="12295" max="12295" width="12" style="59" customWidth="1"/>
    <col min="12296" max="12296" width="16.84765625" style="59" customWidth="1"/>
    <col min="12297" max="12297" width="11.5703125" style="59" customWidth="1"/>
    <col min="12298" max="12298" width="9.27734375" style="59" customWidth="1"/>
    <col min="12299" max="12299" width="9.140625" style="59" customWidth="1"/>
    <col min="12300" max="12300" width="34.5703125" style="59" customWidth="1"/>
    <col min="12301" max="12307" width="9.140625" style="59" customWidth="1"/>
    <col min="12308" max="12308" width="35.7109375" style="59" customWidth="1"/>
    <col min="12309" max="12309" width="9.140625" style="59" customWidth="1"/>
    <col min="12310" max="12310" width="11" style="59" customWidth="1"/>
    <col min="12311" max="12544" width="9.140625" style="59" customWidth="1"/>
    <col min="12545" max="12545" width="54.84765625" style="59" customWidth="1"/>
    <col min="12546" max="12546" width="12" style="59" customWidth="1"/>
    <col min="12547" max="12547" width="10.5703125" style="59" customWidth="1"/>
    <col min="12548" max="12548" width="78" style="59" customWidth="1"/>
    <col min="12549" max="12549" width="46.27734375" style="59" customWidth="1"/>
    <col min="12550" max="12550" width="20" style="59" customWidth="1"/>
    <col min="12551" max="12551" width="12" style="59" customWidth="1"/>
    <col min="12552" max="12552" width="16.84765625" style="59" customWidth="1"/>
    <col min="12553" max="12553" width="11.5703125" style="59" customWidth="1"/>
    <col min="12554" max="12554" width="9.27734375" style="59" customWidth="1"/>
    <col min="12555" max="12555" width="9.140625" style="59" customWidth="1"/>
    <col min="12556" max="12556" width="34.5703125" style="59" customWidth="1"/>
    <col min="12557" max="12563" width="9.140625" style="59" customWidth="1"/>
    <col min="12564" max="12564" width="35.7109375" style="59" customWidth="1"/>
    <col min="12565" max="12565" width="9.140625" style="59" customWidth="1"/>
    <col min="12566" max="12566" width="11" style="59" customWidth="1"/>
    <col min="12567" max="12800" width="9.140625" style="59" customWidth="1"/>
    <col min="12801" max="12801" width="54.84765625" style="59" customWidth="1"/>
    <col min="12802" max="12802" width="12" style="59" customWidth="1"/>
    <col min="12803" max="12803" width="10.5703125" style="59" customWidth="1"/>
    <col min="12804" max="12804" width="78" style="59" customWidth="1"/>
    <col min="12805" max="12805" width="46.27734375" style="59" customWidth="1"/>
    <col min="12806" max="12806" width="20" style="59" customWidth="1"/>
    <col min="12807" max="12807" width="12" style="59" customWidth="1"/>
    <col min="12808" max="12808" width="16.84765625" style="59" customWidth="1"/>
    <col min="12809" max="12809" width="11.5703125" style="59" customWidth="1"/>
    <col min="12810" max="12810" width="9.27734375" style="59" customWidth="1"/>
    <col min="12811" max="12811" width="9.140625" style="59" customWidth="1"/>
    <col min="12812" max="12812" width="34.5703125" style="59" customWidth="1"/>
    <col min="12813" max="12819" width="9.140625" style="59" customWidth="1"/>
    <col min="12820" max="12820" width="35.7109375" style="59" customWidth="1"/>
    <col min="12821" max="12821" width="9.140625" style="59" customWidth="1"/>
    <col min="12822" max="12822" width="11" style="59" customWidth="1"/>
    <col min="12823" max="13056" width="9.140625" style="59" customWidth="1"/>
    <col min="13057" max="13057" width="54.84765625" style="59" customWidth="1"/>
    <col min="13058" max="13058" width="12" style="59" customWidth="1"/>
    <col min="13059" max="13059" width="10.5703125" style="59" customWidth="1"/>
    <col min="13060" max="13060" width="78" style="59" customWidth="1"/>
    <col min="13061" max="13061" width="46.27734375" style="59" customWidth="1"/>
    <col min="13062" max="13062" width="20" style="59" customWidth="1"/>
    <col min="13063" max="13063" width="12" style="59" customWidth="1"/>
    <col min="13064" max="13064" width="16.84765625" style="59" customWidth="1"/>
    <col min="13065" max="13065" width="11.5703125" style="59" customWidth="1"/>
    <col min="13066" max="13066" width="9.27734375" style="59" customWidth="1"/>
    <col min="13067" max="13067" width="9.140625" style="59" customWidth="1"/>
    <col min="13068" max="13068" width="34.5703125" style="59" customWidth="1"/>
    <col min="13069" max="13075" width="9.140625" style="59" customWidth="1"/>
    <col min="13076" max="13076" width="35.7109375" style="59" customWidth="1"/>
    <col min="13077" max="13077" width="9.140625" style="59" customWidth="1"/>
    <col min="13078" max="13078" width="11" style="59" customWidth="1"/>
    <col min="13079" max="13312" width="9.140625" style="59" customWidth="1"/>
    <col min="13313" max="13313" width="54.84765625" style="59" customWidth="1"/>
    <col min="13314" max="13314" width="12" style="59" customWidth="1"/>
    <col min="13315" max="13315" width="10.5703125" style="59" customWidth="1"/>
    <col min="13316" max="13316" width="78" style="59" customWidth="1"/>
    <col min="13317" max="13317" width="46.27734375" style="59" customWidth="1"/>
    <col min="13318" max="13318" width="20" style="59" customWidth="1"/>
    <col min="13319" max="13319" width="12" style="59" customWidth="1"/>
    <col min="13320" max="13320" width="16.84765625" style="59" customWidth="1"/>
    <col min="13321" max="13321" width="11.5703125" style="59" customWidth="1"/>
    <col min="13322" max="13322" width="9.27734375" style="59" customWidth="1"/>
    <col min="13323" max="13323" width="9.140625" style="59" customWidth="1"/>
    <col min="13324" max="13324" width="34.5703125" style="59" customWidth="1"/>
    <col min="13325" max="13331" width="9.140625" style="59" customWidth="1"/>
    <col min="13332" max="13332" width="35.7109375" style="59" customWidth="1"/>
    <col min="13333" max="13333" width="9.140625" style="59" customWidth="1"/>
    <col min="13334" max="13334" width="11" style="59" customWidth="1"/>
    <col min="13335" max="13568" width="9.140625" style="59" customWidth="1"/>
    <col min="13569" max="13569" width="54.84765625" style="59" customWidth="1"/>
    <col min="13570" max="13570" width="12" style="59" customWidth="1"/>
    <col min="13571" max="13571" width="10.5703125" style="59" customWidth="1"/>
    <col min="13572" max="13572" width="78" style="59" customWidth="1"/>
    <col min="13573" max="13573" width="46.27734375" style="59" customWidth="1"/>
    <col min="13574" max="13574" width="20" style="59" customWidth="1"/>
    <col min="13575" max="13575" width="12" style="59" customWidth="1"/>
    <col min="13576" max="13576" width="16.84765625" style="59" customWidth="1"/>
    <col min="13577" max="13577" width="11.5703125" style="59" customWidth="1"/>
    <col min="13578" max="13578" width="9.27734375" style="59" customWidth="1"/>
    <col min="13579" max="13579" width="9.140625" style="59" customWidth="1"/>
    <col min="13580" max="13580" width="34.5703125" style="59" customWidth="1"/>
    <col min="13581" max="13587" width="9.140625" style="59" customWidth="1"/>
    <col min="13588" max="13588" width="35.7109375" style="59" customWidth="1"/>
    <col min="13589" max="13589" width="9.140625" style="59" customWidth="1"/>
    <col min="13590" max="13590" width="11" style="59" customWidth="1"/>
    <col min="13591" max="13824" width="9.140625" style="59" customWidth="1"/>
    <col min="13825" max="13825" width="54.84765625" style="59" customWidth="1"/>
    <col min="13826" max="13826" width="12" style="59" customWidth="1"/>
    <col min="13827" max="13827" width="10.5703125" style="59" customWidth="1"/>
    <col min="13828" max="13828" width="78" style="59" customWidth="1"/>
    <col min="13829" max="13829" width="46.27734375" style="59" customWidth="1"/>
    <col min="13830" max="13830" width="20" style="59" customWidth="1"/>
    <col min="13831" max="13831" width="12" style="59" customWidth="1"/>
    <col min="13832" max="13832" width="16.84765625" style="59" customWidth="1"/>
    <col min="13833" max="13833" width="11.5703125" style="59" customWidth="1"/>
    <col min="13834" max="13834" width="9.27734375" style="59" customWidth="1"/>
    <col min="13835" max="13835" width="9.140625" style="59" customWidth="1"/>
    <col min="13836" max="13836" width="34.5703125" style="59" customWidth="1"/>
    <col min="13837" max="13843" width="9.140625" style="59" customWidth="1"/>
    <col min="13844" max="13844" width="35.7109375" style="59" customWidth="1"/>
    <col min="13845" max="13845" width="9.140625" style="59" customWidth="1"/>
    <col min="13846" max="13846" width="11" style="59" customWidth="1"/>
    <col min="13847" max="14080" width="9.140625" style="59" customWidth="1"/>
    <col min="14081" max="14081" width="54.84765625" style="59" customWidth="1"/>
    <col min="14082" max="14082" width="12" style="59" customWidth="1"/>
    <col min="14083" max="14083" width="10.5703125" style="59" customWidth="1"/>
    <col min="14084" max="14084" width="78" style="59" customWidth="1"/>
    <col min="14085" max="14085" width="46.27734375" style="59" customWidth="1"/>
    <col min="14086" max="14086" width="20" style="59" customWidth="1"/>
    <col min="14087" max="14087" width="12" style="59" customWidth="1"/>
    <col min="14088" max="14088" width="16.84765625" style="59" customWidth="1"/>
    <col min="14089" max="14089" width="11.5703125" style="59" customWidth="1"/>
    <col min="14090" max="14090" width="9.27734375" style="59" customWidth="1"/>
    <col min="14091" max="14091" width="9.140625" style="59" customWidth="1"/>
    <col min="14092" max="14092" width="34.5703125" style="59" customWidth="1"/>
    <col min="14093" max="14099" width="9.140625" style="59" customWidth="1"/>
    <col min="14100" max="14100" width="35.7109375" style="59" customWidth="1"/>
    <col min="14101" max="14101" width="9.140625" style="59" customWidth="1"/>
    <col min="14102" max="14102" width="11" style="59" customWidth="1"/>
    <col min="14103" max="14336" width="9.140625" style="59" customWidth="1"/>
    <col min="14337" max="14337" width="54.84765625" style="59" customWidth="1"/>
    <col min="14338" max="14338" width="12" style="59" customWidth="1"/>
    <col min="14339" max="14339" width="10.5703125" style="59" customWidth="1"/>
    <col min="14340" max="14340" width="78" style="59" customWidth="1"/>
    <col min="14341" max="14341" width="46.27734375" style="59" customWidth="1"/>
    <col min="14342" max="14342" width="20" style="59" customWidth="1"/>
    <col min="14343" max="14343" width="12" style="59" customWidth="1"/>
    <col min="14344" max="14344" width="16.84765625" style="59" customWidth="1"/>
    <col min="14345" max="14345" width="11.5703125" style="59" customWidth="1"/>
    <col min="14346" max="14346" width="9.27734375" style="59" customWidth="1"/>
    <col min="14347" max="14347" width="9.140625" style="59" customWidth="1"/>
    <col min="14348" max="14348" width="34.5703125" style="59" customWidth="1"/>
    <col min="14349" max="14355" width="9.140625" style="59" customWidth="1"/>
    <col min="14356" max="14356" width="35.7109375" style="59" customWidth="1"/>
    <col min="14357" max="14357" width="9.140625" style="59" customWidth="1"/>
    <col min="14358" max="14358" width="11" style="59" customWidth="1"/>
    <col min="14359" max="14592" width="9.140625" style="59" customWidth="1"/>
    <col min="14593" max="14593" width="54.84765625" style="59" customWidth="1"/>
    <col min="14594" max="14594" width="12" style="59" customWidth="1"/>
    <col min="14595" max="14595" width="10.5703125" style="59" customWidth="1"/>
    <col min="14596" max="14596" width="78" style="59" customWidth="1"/>
    <col min="14597" max="14597" width="46.27734375" style="59" customWidth="1"/>
    <col min="14598" max="14598" width="20" style="59" customWidth="1"/>
    <col min="14599" max="14599" width="12" style="59" customWidth="1"/>
    <col min="14600" max="14600" width="16.84765625" style="59" customWidth="1"/>
    <col min="14601" max="14601" width="11.5703125" style="59" customWidth="1"/>
    <col min="14602" max="14602" width="9.27734375" style="59" customWidth="1"/>
    <col min="14603" max="14603" width="9.140625" style="59" customWidth="1"/>
    <col min="14604" max="14604" width="34.5703125" style="59" customWidth="1"/>
    <col min="14605" max="14611" width="9.140625" style="59" customWidth="1"/>
    <col min="14612" max="14612" width="35.7109375" style="59" customWidth="1"/>
    <col min="14613" max="14613" width="9.140625" style="59" customWidth="1"/>
    <col min="14614" max="14614" width="11" style="59" customWidth="1"/>
    <col min="14615" max="14848" width="9.140625" style="59" customWidth="1"/>
    <col min="14849" max="14849" width="54.84765625" style="59" customWidth="1"/>
    <col min="14850" max="14850" width="12" style="59" customWidth="1"/>
    <col min="14851" max="14851" width="10.5703125" style="59" customWidth="1"/>
    <col min="14852" max="14852" width="78" style="59" customWidth="1"/>
    <col min="14853" max="14853" width="46.27734375" style="59" customWidth="1"/>
    <col min="14854" max="14854" width="20" style="59" customWidth="1"/>
    <col min="14855" max="14855" width="12" style="59" customWidth="1"/>
    <col min="14856" max="14856" width="16.84765625" style="59" customWidth="1"/>
    <col min="14857" max="14857" width="11.5703125" style="59" customWidth="1"/>
    <col min="14858" max="14858" width="9.27734375" style="59" customWidth="1"/>
    <col min="14859" max="14859" width="9.140625" style="59" customWidth="1"/>
    <col min="14860" max="14860" width="34.5703125" style="59" customWidth="1"/>
    <col min="14861" max="14867" width="9.140625" style="59" customWidth="1"/>
    <col min="14868" max="14868" width="35.7109375" style="59" customWidth="1"/>
    <col min="14869" max="14869" width="9.140625" style="59" customWidth="1"/>
    <col min="14870" max="14870" width="11" style="59" customWidth="1"/>
    <col min="14871" max="15104" width="9.140625" style="59" customWidth="1"/>
    <col min="15105" max="15105" width="54.84765625" style="59" customWidth="1"/>
    <col min="15106" max="15106" width="12" style="59" customWidth="1"/>
    <col min="15107" max="15107" width="10.5703125" style="59" customWidth="1"/>
    <col min="15108" max="15108" width="78" style="59" customWidth="1"/>
    <col min="15109" max="15109" width="46.27734375" style="59" customWidth="1"/>
    <col min="15110" max="15110" width="20" style="59" customWidth="1"/>
    <col min="15111" max="15111" width="12" style="59" customWidth="1"/>
    <col min="15112" max="15112" width="16.84765625" style="59" customWidth="1"/>
    <col min="15113" max="15113" width="11.5703125" style="59" customWidth="1"/>
    <col min="15114" max="15114" width="9.27734375" style="59" customWidth="1"/>
    <col min="15115" max="15115" width="9.140625" style="59" customWidth="1"/>
    <col min="15116" max="15116" width="34.5703125" style="59" customWidth="1"/>
    <col min="15117" max="15123" width="9.140625" style="59" customWidth="1"/>
    <col min="15124" max="15124" width="35.7109375" style="59" customWidth="1"/>
    <col min="15125" max="15125" width="9.140625" style="59" customWidth="1"/>
    <col min="15126" max="15126" width="11" style="59" customWidth="1"/>
    <col min="15127" max="15360" width="9.140625" style="59" customWidth="1"/>
    <col min="15361" max="15361" width="54.84765625" style="59" customWidth="1"/>
    <col min="15362" max="15362" width="12" style="59" customWidth="1"/>
    <col min="15363" max="15363" width="10.5703125" style="59" customWidth="1"/>
    <col min="15364" max="15364" width="78" style="59" customWidth="1"/>
    <col min="15365" max="15365" width="46.27734375" style="59" customWidth="1"/>
    <col min="15366" max="15366" width="20" style="59" customWidth="1"/>
    <col min="15367" max="15367" width="12" style="59" customWidth="1"/>
    <col min="15368" max="15368" width="16.84765625" style="59" customWidth="1"/>
    <col min="15369" max="15369" width="11.5703125" style="59" customWidth="1"/>
    <col min="15370" max="15370" width="9.27734375" style="59" customWidth="1"/>
    <col min="15371" max="15371" width="9.140625" style="59" customWidth="1"/>
    <col min="15372" max="15372" width="34.5703125" style="59" customWidth="1"/>
    <col min="15373" max="15379" width="9.140625" style="59" customWidth="1"/>
    <col min="15380" max="15380" width="35.7109375" style="59" customWidth="1"/>
    <col min="15381" max="15381" width="9.140625" style="59" customWidth="1"/>
    <col min="15382" max="15382" width="11" style="59" customWidth="1"/>
    <col min="15383" max="15616" width="9.140625" style="59" customWidth="1"/>
    <col min="15617" max="15617" width="54.84765625" style="59" customWidth="1"/>
    <col min="15618" max="15618" width="12" style="59" customWidth="1"/>
    <col min="15619" max="15619" width="10.5703125" style="59" customWidth="1"/>
    <col min="15620" max="15620" width="78" style="59" customWidth="1"/>
    <col min="15621" max="15621" width="46.27734375" style="59" customWidth="1"/>
    <col min="15622" max="15622" width="20" style="59" customWidth="1"/>
    <col min="15623" max="15623" width="12" style="59" customWidth="1"/>
    <col min="15624" max="15624" width="16.84765625" style="59" customWidth="1"/>
    <col min="15625" max="15625" width="11.5703125" style="59" customWidth="1"/>
    <col min="15626" max="15626" width="9.27734375" style="59" customWidth="1"/>
    <col min="15627" max="15627" width="9.140625" style="59" customWidth="1"/>
    <col min="15628" max="15628" width="34.5703125" style="59" customWidth="1"/>
    <col min="15629" max="15635" width="9.140625" style="59" customWidth="1"/>
    <col min="15636" max="15636" width="35.7109375" style="59" customWidth="1"/>
    <col min="15637" max="15637" width="9.140625" style="59" customWidth="1"/>
    <col min="15638" max="15638" width="11" style="59" customWidth="1"/>
    <col min="15639" max="15872" width="9.140625" style="59" customWidth="1"/>
    <col min="15873" max="15873" width="54.84765625" style="59" customWidth="1"/>
    <col min="15874" max="15874" width="12" style="59" customWidth="1"/>
    <col min="15875" max="15875" width="10.5703125" style="59" customWidth="1"/>
    <col min="15876" max="15876" width="78" style="59" customWidth="1"/>
    <col min="15877" max="15877" width="46.27734375" style="59" customWidth="1"/>
    <col min="15878" max="15878" width="20" style="59" customWidth="1"/>
    <col min="15879" max="15879" width="12" style="59" customWidth="1"/>
    <col min="15880" max="15880" width="16.84765625" style="59" customWidth="1"/>
    <col min="15881" max="15881" width="11.5703125" style="59" customWidth="1"/>
    <col min="15882" max="15882" width="9.27734375" style="59" customWidth="1"/>
    <col min="15883" max="15883" width="9.140625" style="59" customWidth="1"/>
    <col min="15884" max="15884" width="34.5703125" style="59" customWidth="1"/>
    <col min="15885" max="15891" width="9.140625" style="59" customWidth="1"/>
    <col min="15892" max="15892" width="35.7109375" style="59" customWidth="1"/>
    <col min="15893" max="15893" width="9.140625" style="59" customWidth="1"/>
    <col min="15894" max="15894" width="11" style="59" customWidth="1"/>
    <col min="15895" max="16128" width="9.140625" style="59" customWidth="1"/>
    <col min="16129" max="16129" width="54.84765625" style="59" customWidth="1"/>
    <col min="16130" max="16130" width="12" style="59" customWidth="1"/>
    <col min="16131" max="16131" width="10.5703125" style="59" customWidth="1"/>
    <col min="16132" max="16132" width="78" style="59" customWidth="1"/>
    <col min="16133" max="16133" width="46.27734375" style="59" customWidth="1"/>
    <col min="16134" max="16134" width="20" style="59" customWidth="1"/>
    <col min="16135" max="16135" width="12" style="59" customWidth="1"/>
    <col min="16136" max="16136" width="16.84765625" style="59" customWidth="1"/>
    <col min="16137" max="16137" width="11.5703125" style="59" customWidth="1"/>
    <col min="16138" max="16138" width="9.27734375" style="59" customWidth="1"/>
    <col min="16139" max="16139" width="9.140625" style="59" customWidth="1"/>
    <col min="16140" max="16140" width="34.5703125" style="59" customWidth="1"/>
    <col min="16141" max="16147" width="9.140625" style="59" customWidth="1"/>
    <col min="16148" max="16148" width="35.7109375" style="59" customWidth="1"/>
    <col min="16149" max="16149" width="9.140625" style="59" customWidth="1"/>
    <col min="16150" max="16150" width="11" style="59" customWidth="1"/>
    <col min="16151" max="16384" width="9.140625" style="59" customWidth="1"/>
  </cols>
  <sheetData>
    <row r="1" spans="1:22" s="59" customFormat="1" ht="18">
      <c r="A1" s="57" t="s">
        <v>68</v>
      </c>
      <c r="B1" s="237" t="s">
        <v>1910</v>
      </c>
      <c r="C1" s="58"/>
      <c r="T1" s="189" t="s">
        <v>1855</v>
      </c>
      <c r="V1" s="60"/>
    </row>
    <row r="2" spans="20:20">
      <c r="T2" t="s">
        <v>1856</v>
      </c>
    </row>
    <row r="3" spans="1:22" s="59" customFormat="1" ht="18">
      <c r="A3" s="61" t="s">
        <v>69</v>
      </c>
      <c r="B3" s="62"/>
      <c r="C3" s="62"/>
      <c r="T3" t="s">
        <v>1857</v>
      </c>
      <c r="V3" s="60"/>
    </row>
    <row r="4" spans="1:22" s="59" customFormat="1" ht="18">
      <c r="A4" s="61"/>
      <c r="B4" s="62"/>
      <c r="C4" s="62"/>
      <c r="T4" t="s">
        <v>1858</v>
      </c>
      <c r="V4" s="60"/>
    </row>
    <row r="5" spans="6:22" s="59" customFormat="1" ht="13">
      <c r="F5" s="63" t="s">
        <v>70</v>
      </c>
      <c r="G5" s="58"/>
      <c r="V5" s="60"/>
    </row>
    <row r="6" spans="1:14" ht="36">
      <c r="A6" s="64" t="s">
        <v>71</v>
      </c>
      <c r="E6" s="65"/>
      <c r="I6" s="59" t="s">
        <v>72</v>
      </c>
      <c r="J6" s="66">
        <v>0.091</v>
      </c>
      <c r="K6" s="59" t="s">
        <v>73</v>
      </c>
      <c r="L6" s="59" t="s">
        <v>72</v>
      </c>
      <c r="M6" s="66">
        <v>0.128</v>
      </c>
      <c r="N6" s="59" t="s">
        <v>74</v>
      </c>
    </row>
    <row r="7" spans="3:13" ht="38">
      <c r="C7" s="68" t="s">
        <v>75</v>
      </c>
      <c r="E7" s="69" t="s">
        <v>76</v>
      </c>
      <c r="F7" s="70"/>
      <c r="G7" s="71">
        <v>0.25</v>
      </c>
      <c r="I7" s="59" t="s">
        <v>77</v>
      </c>
      <c r="J7" s="66">
        <v>0.14</v>
      </c>
      <c r="L7" s="59" t="s">
        <v>77</v>
      </c>
      <c r="M7" s="66">
        <v>0.14</v>
      </c>
    </row>
    <row r="8" spans="1:13" ht="13">
      <c r="A8" s="69" t="s">
        <v>78</v>
      </c>
      <c r="B8" s="59">
        <v>1</v>
      </c>
      <c r="C8" s="67">
        <v>0</v>
      </c>
      <c r="D8" s="69" t="s">
        <v>78</v>
      </c>
      <c r="E8" s="69"/>
      <c r="F8" s="72" t="s">
        <v>79</v>
      </c>
      <c r="G8" s="72" t="s">
        <v>80</v>
      </c>
      <c r="H8" s="73" t="s">
        <v>50</v>
      </c>
      <c r="J8" s="74">
        <f>SUM(J6:J7)</f>
        <v>0.231</v>
      </c>
      <c r="M8" s="74">
        <f>SUM(M6:M7)</f>
        <v>0.268</v>
      </c>
    </row>
    <row r="9" spans="1:9" ht="13">
      <c r="A9" s="75" t="s">
        <v>81</v>
      </c>
      <c r="B9" s="59">
        <v>1</v>
      </c>
      <c r="C9" s="76">
        <v>0</v>
      </c>
      <c r="D9" s="59" t="str">
        <f>+A9</f>
        <v>Staff</v>
      </c>
      <c r="E9" s="77"/>
      <c r="F9" s="78"/>
      <c r="G9" s="79">
        <f>F9*J$8</f>
        <v>0</v>
      </c>
      <c r="H9" s="80">
        <f>SUM(F9:G9)</f>
        <v>0</v>
      </c>
      <c r="I9" s="81"/>
    </row>
    <row r="10" spans="1:9" ht="13">
      <c r="A10" s="77" t="s">
        <v>82</v>
      </c>
      <c r="B10" s="59">
        <f>+B9+1</f>
        <v>2</v>
      </c>
      <c r="C10" s="76">
        <f>H10/44/37.5</f>
        <v>0</v>
      </c>
      <c r="D10" s="59" t="str">
        <f>+A10</f>
        <v>Band 1</v>
      </c>
      <c r="E10" s="77"/>
      <c r="F10" s="78"/>
      <c r="G10" s="79">
        <f>F10*J$8</f>
        <v>0</v>
      </c>
      <c r="H10" s="80">
        <f>SUM(F10:G10)</f>
        <v>0</v>
      </c>
      <c r="I10" s="81"/>
    </row>
    <row r="11" spans="1:9" ht="13">
      <c r="A11" s="77" t="s">
        <v>83</v>
      </c>
      <c r="B11" s="59">
        <f>+B10+1</f>
        <v>3</v>
      </c>
      <c r="C11" s="76">
        <f>H11/44/37.5</f>
        <v>13.000106060606059</v>
      </c>
      <c r="D11" s="59" t="str">
        <f>+A11</f>
        <v>Band 2 (eg MTO)</v>
      </c>
      <c r="E11" s="77"/>
      <c r="F11" s="78">
        <v>17425</v>
      </c>
      <c r="G11" s="79">
        <f>F11*J$8</f>
        <v>4025.175</v>
      </c>
      <c r="H11" s="80">
        <f>SUM(F11:G11)</f>
        <v>21450.175</v>
      </c>
      <c r="I11" s="81"/>
    </row>
    <row r="12" spans="1:9" ht="13">
      <c r="A12" s="77" t="s">
        <v>84</v>
      </c>
      <c r="B12" s="59">
        <f>+B11+1</f>
        <v>4</v>
      </c>
      <c r="C12" s="76">
        <f>H12/44/37.5</f>
        <v>14.375095757575759</v>
      </c>
      <c r="D12" s="59" t="str">
        <f>+A12</f>
        <v>Band 3 (eg Clerical)</v>
      </c>
      <c r="E12" s="77"/>
      <c r="F12" s="78">
        <v>19268</v>
      </c>
      <c r="G12" s="79">
        <f>F12*J$8</f>
        <v>4450.908</v>
      </c>
      <c r="H12" s="80">
        <f>SUM(F12:G12)</f>
        <v>23718.908</v>
      </c>
      <c r="I12" s="81"/>
    </row>
    <row r="13" spans="1:9" ht="13">
      <c r="A13" s="77" t="s">
        <v>85</v>
      </c>
      <c r="B13" s="59">
        <f>+B12+1</f>
        <v>5</v>
      </c>
      <c r="C13" s="76">
        <f>H13/44/37.5</f>
        <v>16.425270303030302</v>
      </c>
      <c r="D13" s="59" t="str">
        <f>+A13</f>
        <v>Band 4 (eg dental nurse, MLSO)</v>
      </c>
      <c r="E13" s="77"/>
      <c r="F13" s="78">
        <v>22016</v>
      </c>
      <c r="G13" s="79">
        <f>F13*J$8</f>
        <v>5085.696</v>
      </c>
      <c r="H13" s="80">
        <f>SUM(F13:G13)</f>
        <v>27101.696</v>
      </c>
      <c r="I13" s="81"/>
    </row>
    <row r="14" spans="1:9" ht="13">
      <c r="A14" s="77" t="s">
        <v>86</v>
      </c>
      <c r="B14" s="59">
        <f>+B13+1</f>
        <v>6</v>
      </c>
      <c r="C14" s="76">
        <f>H14/44/37.5</f>
        <v>20.815836969696971</v>
      </c>
      <c r="D14" s="59" t="str">
        <f>+A14</f>
        <v>Band 5 (eg AHPs)</v>
      </c>
      <c r="E14" s="77"/>
      <c r="F14" s="78">
        <v>27901</v>
      </c>
      <c r="G14" s="79">
        <f>F14*J$8</f>
        <v>6445.131</v>
      </c>
      <c r="H14" s="80">
        <f>SUM(F14:G14)</f>
        <v>34346.131</v>
      </c>
      <c r="I14" s="81"/>
    </row>
    <row r="15" spans="1:9" ht="13">
      <c r="A15" s="77" t="s">
        <v>87</v>
      </c>
      <c r="B15" s="59">
        <f>+B14+1</f>
        <v>7</v>
      </c>
      <c r="C15" s="76">
        <v>24.95</v>
      </c>
      <c r="D15" s="59" t="str">
        <f>+A15</f>
        <v>Band 6 (eg Staff Nurse/Midwife)</v>
      </c>
      <c r="E15" s="77"/>
      <c r="F15" s="78">
        <v>34530</v>
      </c>
      <c r="G15" s="79">
        <f>F15*J$8</f>
        <v>7976.43</v>
      </c>
      <c r="H15" s="80">
        <f>SUM(F15:G15)</f>
        <v>42506.43</v>
      </c>
      <c r="I15" s="82"/>
    </row>
    <row r="16" spans="1:9" ht="13">
      <c r="A16" s="77" t="s">
        <v>88</v>
      </c>
      <c r="B16" s="59">
        <f>+B15+1</f>
        <v>8</v>
      </c>
      <c r="C16" s="76">
        <f>H16/44/37.5</f>
        <v>31.168208484848485</v>
      </c>
      <c r="D16" s="59" t="str">
        <f>+A16</f>
        <v>Band 7 (eg Senior Nurse)</v>
      </c>
      <c r="E16" s="77"/>
      <c r="F16" s="78">
        <v>40558</v>
      </c>
      <c r="G16" s="79">
        <f>F16*M$8</f>
        <v>10869.544</v>
      </c>
      <c r="H16" s="80">
        <f>SUM(F16:G16)</f>
        <v>51427.544</v>
      </c>
      <c r="I16" s="82"/>
    </row>
    <row r="17" spans="1:9" ht="13">
      <c r="A17" s="77" t="s">
        <v>89</v>
      </c>
      <c r="B17" s="59">
        <f>+B16+1</f>
        <v>9</v>
      </c>
      <c r="C17" s="76">
        <f>H17/44/37.5</f>
        <v>36.186414545454546</v>
      </c>
      <c r="D17" s="59" t="str">
        <f>+A17</f>
        <v>Band 8A (eg Senior Clinical Scientist)</v>
      </c>
      <c r="E17" s="77"/>
      <c r="F17" s="78">
        <v>47088</v>
      </c>
      <c r="G17" s="79">
        <f>F17*M$8</f>
        <v>12619.584</v>
      </c>
      <c r="H17" s="80">
        <f>SUM(F17:G17)</f>
        <v>59707.584</v>
      </c>
      <c r="I17" s="79"/>
    </row>
    <row r="18" spans="1:9" ht="13">
      <c r="A18" s="77" t="s">
        <v>90</v>
      </c>
      <c r="B18" s="59">
        <f>+B17+1</f>
        <v>10</v>
      </c>
      <c r="C18" s="76">
        <f>H18/44/37.5</f>
        <v>43.422467878787877</v>
      </c>
      <c r="D18" s="59" t="str">
        <f>+A18</f>
        <v>Band 8B (eg Nurse Consultant)</v>
      </c>
      <c r="E18" s="77"/>
      <c r="F18" s="78">
        <v>56504</v>
      </c>
      <c r="G18" s="79">
        <f>F18*M$8</f>
        <v>15143.072</v>
      </c>
      <c r="H18" s="80">
        <f>SUM(F18:G18)</f>
        <v>71647.072</v>
      </c>
      <c r="I18" s="79"/>
    </row>
    <row r="19" spans="1:9" ht="13">
      <c r="A19" s="77" t="s">
        <v>91</v>
      </c>
      <c r="B19" s="59">
        <f>+B18+1</f>
        <v>11</v>
      </c>
      <c r="C19" s="76">
        <f>H19/44/37.5</f>
        <v>52.107115151515153</v>
      </c>
      <c r="D19" s="59" t="str">
        <f>+A19</f>
        <v>Band 8C (eg Senior Manager)</v>
      </c>
      <c r="E19" s="77"/>
      <c r="F19" s="78">
        <v>67805</v>
      </c>
      <c r="G19" s="79">
        <f>F19*M$8</f>
        <v>18171.74</v>
      </c>
      <c r="H19" s="80">
        <f>SUM(F19:G19)</f>
        <v>85976.74</v>
      </c>
      <c r="I19" s="81"/>
    </row>
    <row r="20" spans="1:8" ht="13">
      <c r="A20" s="77" t="s">
        <v>92</v>
      </c>
      <c r="B20" s="59">
        <f>+B19+1</f>
        <v>12</v>
      </c>
      <c r="C20" s="76">
        <f>H20/44/37.5</f>
        <v>62.722196363636357</v>
      </c>
      <c r="D20" s="59" t="str">
        <f>+A20</f>
        <v>Band 8D (eg Director)</v>
      </c>
      <c r="E20" s="77"/>
      <c r="F20" s="78">
        <v>81618</v>
      </c>
      <c r="G20" s="79">
        <f>F20*M$8</f>
        <v>21873.624</v>
      </c>
      <c r="H20" s="80">
        <f>SUM(F20:G20)</f>
        <v>103491.624</v>
      </c>
    </row>
    <row r="21" spans="1:11" ht="13">
      <c r="A21" s="77" t="s">
        <v>93</v>
      </c>
      <c r="B21" s="59">
        <f>+B20+1</f>
        <v>13</v>
      </c>
      <c r="C21" s="83">
        <v>72.06</v>
      </c>
      <c r="D21" s="84" t="str">
        <f>+A21</f>
        <v>Band 9 (eg Executive)</v>
      </c>
      <c r="E21" s="77"/>
      <c r="F21" s="85" t="s">
        <v>94</v>
      </c>
      <c r="G21" s="86"/>
      <c r="H21" s="79"/>
      <c r="I21" s="87"/>
      <c r="J21" s="88"/>
      <c r="K21" s="88"/>
    </row>
    <row r="22" spans="1:11" ht="13">
      <c r="A22" s="77" t="s">
        <v>95</v>
      </c>
      <c r="B22" s="59">
        <f>+B21+1</f>
        <v>14</v>
      </c>
      <c r="C22" s="83">
        <v>0</v>
      </c>
      <c r="D22" s="84" t="str">
        <f>+A22</f>
        <v>Student</v>
      </c>
      <c r="E22" s="77"/>
      <c r="F22" s="85"/>
      <c r="G22" s="86"/>
      <c r="H22" s="79"/>
      <c r="I22" s="87"/>
      <c r="J22" s="88"/>
      <c r="K22" s="88"/>
    </row>
    <row r="23" spans="1:11" ht="13">
      <c r="A23" s="77" t="s">
        <v>96</v>
      </c>
      <c r="B23" s="59">
        <f>+B22+1</f>
        <v>15</v>
      </c>
      <c r="C23" s="83">
        <v>83.81</v>
      </c>
      <c r="D23" s="84" t="str">
        <f>+A23</f>
        <v>Consultant</v>
      </c>
      <c r="E23" s="77"/>
      <c r="F23" s="85" t="s">
        <v>94</v>
      </c>
      <c r="G23" s="86"/>
      <c r="H23" s="79"/>
      <c r="I23" s="87"/>
      <c r="J23" s="87"/>
      <c r="K23" s="87"/>
    </row>
    <row r="24" spans="1:11" ht="13">
      <c r="A24" s="77" t="s">
        <v>97</v>
      </c>
      <c r="B24" s="59">
        <f>+B23+1</f>
        <v>16</v>
      </c>
      <c r="C24" s="83">
        <v>33.73</v>
      </c>
      <c r="D24" s="84" t="str">
        <f>+A24</f>
        <v>Specialist Registrar</v>
      </c>
      <c r="E24" s="77"/>
      <c r="F24" s="85" t="s">
        <v>94</v>
      </c>
      <c r="G24" s="86"/>
      <c r="H24" s="79"/>
      <c r="I24" s="87"/>
      <c r="J24" s="87"/>
      <c r="K24" s="87"/>
    </row>
    <row r="25" spans="1:11" ht="13">
      <c r="A25" s="77" t="s">
        <v>98</v>
      </c>
      <c r="B25" s="59">
        <f>+B24+1</f>
        <v>17</v>
      </c>
      <c r="C25" s="83">
        <v>27.79</v>
      </c>
      <c r="D25" s="84" t="str">
        <f>+A25</f>
        <v>SHO</v>
      </c>
      <c r="E25" s="77"/>
      <c r="F25" s="85" t="s">
        <v>94</v>
      </c>
      <c r="G25" s="86"/>
      <c r="H25" s="79"/>
      <c r="I25" s="87"/>
      <c r="J25" s="87"/>
      <c r="K25" s="87"/>
    </row>
    <row r="26" spans="1:11" ht="13">
      <c r="A26" s="77" t="s">
        <v>99</v>
      </c>
      <c r="B26" s="59">
        <f>+B25+1</f>
        <v>18</v>
      </c>
      <c r="C26" s="83">
        <v>17.99</v>
      </c>
      <c r="D26" s="84" t="str">
        <f>+A26</f>
        <v>HO</v>
      </c>
      <c r="E26" s="77"/>
      <c r="F26" s="85" t="s">
        <v>94</v>
      </c>
      <c r="G26" s="86"/>
      <c r="H26" s="79"/>
      <c r="I26" s="87"/>
      <c r="J26" s="87"/>
      <c r="K26" s="87"/>
    </row>
    <row r="27" spans="1:11" ht="13">
      <c r="A27" s="77" t="s">
        <v>100</v>
      </c>
      <c r="B27" s="59">
        <f>+B26+1</f>
        <v>19</v>
      </c>
      <c r="C27" s="83">
        <v>59.92</v>
      </c>
      <c r="D27" s="84" t="str">
        <f>+A27</f>
        <v>Associate Specialist</v>
      </c>
      <c r="E27" s="77"/>
      <c r="F27" s="85" t="s">
        <v>94</v>
      </c>
      <c r="G27" s="86"/>
      <c r="H27" s="79"/>
      <c r="I27" s="87"/>
      <c r="J27" s="87"/>
      <c r="K27" s="87"/>
    </row>
    <row r="28" spans="1:11" ht="13">
      <c r="A28" s="89" t="s">
        <v>101</v>
      </c>
      <c r="B28" s="59">
        <f>+B27+1</f>
        <v>20</v>
      </c>
      <c r="C28" s="67">
        <v>0</v>
      </c>
      <c r="D28" s="69" t="str">
        <f>+A28</f>
        <v>Consumables</v>
      </c>
      <c r="E28" s="90"/>
      <c r="F28" s="59" t="s">
        <v>102</v>
      </c>
      <c r="G28" s="59" t="s">
        <v>103</v>
      </c>
      <c r="H28" s="88"/>
      <c r="I28" s="88"/>
      <c r="J28" s="88"/>
      <c r="K28" s="88"/>
    </row>
    <row r="29" spans="1:11" ht="13">
      <c r="A29" s="91" t="s">
        <v>104</v>
      </c>
      <c r="B29" s="59">
        <f>+B28+1</f>
        <v>21</v>
      </c>
      <c r="C29" s="83">
        <f>45+106</f>
        <v>151</v>
      </c>
      <c r="D29" s="92" t="str">
        <f>+A29</f>
        <v>Pulmonary Function Tests</v>
      </c>
      <c r="E29" s="90"/>
      <c r="H29" s="88"/>
      <c r="I29" s="88"/>
      <c r="J29" s="88"/>
      <c r="K29" s="88"/>
    </row>
    <row r="30" spans="1:11">
      <c r="A30" s="91" t="s">
        <v>105</v>
      </c>
      <c r="B30" s="59">
        <f>+B29+1</f>
        <v>22</v>
      </c>
      <c r="C30" s="83">
        <f>F30/G30</f>
        <v>0.03555</v>
      </c>
      <c r="D30" s="92" t="str">
        <f>+A30</f>
        <v>Apron Polythene Unisex Disposable</v>
      </c>
      <c r="E30" s="93"/>
      <c r="F30" s="67">
        <v>7.11</v>
      </c>
      <c r="G30" s="59">
        <v>200</v>
      </c>
      <c r="H30" s="88"/>
      <c r="I30" s="88"/>
      <c r="J30" s="88"/>
      <c r="K30" s="88"/>
    </row>
    <row r="31" spans="1:11">
      <c r="A31" s="91" t="s">
        <v>106</v>
      </c>
      <c r="B31" s="59">
        <f>+B30+1</f>
        <v>23</v>
      </c>
      <c r="C31" s="83">
        <f>F31/G31</f>
        <v>0.43200000000000005</v>
      </c>
      <c r="D31" s="92" t="str">
        <f>+A31</f>
        <v>Mask face surgical fluidshield membrane</v>
      </c>
      <c r="E31" s="93"/>
      <c r="F31" s="67">
        <v>21.6</v>
      </c>
      <c r="G31" s="59">
        <v>50</v>
      </c>
      <c r="H31" s="88"/>
      <c r="I31" s="88"/>
      <c r="J31" s="88"/>
      <c r="K31" s="88"/>
    </row>
    <row r="32" spans="1:11">
      <c r="A32" s="91" t="s">
        <v>107</v>
      </c>
      <c r="B32" s="59">
        <f>+B31+1</f>
        <v>24</v>
      </c>
      <c r="C32" s="83">
        <f>F32/G32</f>
        <v>0.2552</v>
      </c>
      <c r="D32" s="92" t="str">
        <f>+A32</f>
        <v>Mask face surgical duckbill</v>
      </c>
      <c r="E32" s="93"/>
      <c r="F32" s="67">
        <v>12.76</v>
      </c>
      <c r="G32" s="59">
        <v>50</v>
      </c>
      <c r="H32" s="88"/>
      <c r="I32" s="88"/>
      <c r="J32" s="88"/>
      <c r="K32" s="88"/>
    </row>
    <row r="33" spans="1:11">
      <c r="A33" s="91" t="s">
        <v>108</v>
      </c>
      <c r="B33" s="59">
        <f>+B32+1</f>
        <v>25</v>
      </c>
      <c r="C33" s="83">
        <f>F33/G33</f>
        <v>0.26</v>
      </c>
      <c r="D33" s="92" t="str">
        <f>+A33</f>
        <v>Airway oropharyngeal size 000 - lilac</v>
      </c>
      <c r="E33" s="93" t="s">
        <v>109</v>
      </c>
      <c r="F33" s="67">
        <v>0.26</v>
      </c>
      <c r="G33" s="59">
        <v>1</v>
      </c>
      <c r="H33" s="88"/>
      <c r="I33" s="88"/>
      <c r="J33" s="88"/>
      <c r="K33" s="88"/>
    </row>
    <row r="34" spans="1:11">
      <c r="A34" s="91" t="s">
        <v>110</v>
      </c>
      <c r="B34" s="59">
        <f>+B33+1</f>
        <v>26</v>
      </c>
      <c r="C34" s="83">
        <f>F34/G34</f>
        <v>0.26</v>
      </c>
      <c r="D34" s="92" t="str">
        <f>+A34</f>
        <v>Airway oropharyngeal size 00 - blue</v>
      </c>
      <c r="E34" s="93" t="s">
        <v>111</v>
      </c>
      <c r="F34" s="67">
        <v>0.26</v>
      </c>
      <c r="G34" s="59">
        <v>1</v>
      </c>
      <c r="H34" s="88"/>
      <c r="I34" s="88"/>
      <c r="J34" s="88"/>
      <c r="K34" s="88"/>
    </row>
    <row r="35" spans="1:11">
      <c r="A35" s="91" t="s">
        <v>112</v>
      </c>
      <c r="B35" s="59">
        <f>+B34+1</f>
        <v>27</v>
      </c>
      <c r="C35" s="83">
        <f>F35/G35</f>
        <v>0.26</v>
      </c>
      <c r="D35" s="92" t="str">
        <f>+A35</f>
        <v>Airway oropharyngeal size 0 - grey</v>
      </c>
      <c r="E35" s="93" t="s">
        <v>113</v>
      </c>
      <c r="F35" s="67">
        <v>0.26</v>
      </c>
      <c r="G35" s="59">
        <v>1</v>
      </c>
      <c r="H35" s="88"/>
      <c r="I35" s="88"/>
      <c r="J35" s="88"/>
      <c r="K35" s="88"/>
    </row>
    <row r="36" spans="1:11">
      <c r="A36" s="91" t="s">
        <v>114</v>
      </c>
      <c r="B36" s="59">
        <f>+B35+1</f>
        <v>28</v>
      </c>
      <c r="C36" s="83">
        <f>F36/G36</f>
        <v>0.26</v>
      </c>
      <c r="D36" s="92" t="str">
        <f>+A36</f>
        <v>Airway oropharyngeal size 1 - white</v>
      </c>
      <c r="E36" s="93" t="s">
        <v>115</v>
      </c>
      <c r="F36" s="67">
        <v>0.26</v>
      </c>
      <c r="G36" s="59">
        <v>1</v>
      </c>
      <c r="H36" s="88"/>
      <c r="I36" s="88"/>
      <c r="J36" s="88"/>
      <c r="K36" s="88"/>
    </row>
    <row r="37" spans="1:11">
      <c r="A37" s="91" t="s">
        <v>116</v>
      </c>
      <c r="B37" s="59">
        <f>+B36+1</f>
        <v>29</v>
      </c>
      <c r="C37" s="83">
        <f>F37/G37</f>
        <v>0.24</v>
      </c>
      <c r="D37" s="92" t="str">
        <f>+A37</f>
        <v>Airway oropharyngeal size 2 - green</v>
      </c>
      <c r="E37" s="93" t="s">
        <v>117</v>
      </c>
      <c r="F37" s="67">
        <v>0.24</v>
      </c>
      <c r="G37" s="59">
        <v>1</v>
      </c>
      <c r="H37" s="88"/>
      <c r="I37" s="88"/>
      <c r="J37" s="88"/>
      <c r="K37" s="88"/>
    </row>
    <row r="38" spans="1:11">
      <c r="A38" s="91" t="s">
        <v>118</v>
      </c>
      <c r="B38" s="59">
        <f>+B37+1</f>
        <v>30</v>
      </c>
      <c r="C38" s="83">
        <f>F38/G38</f>
        <v>0.24</v>
      </c>
      <c r="D38" s="92" t="str">
        <f>+A38</f>
        <v>Airway oropharyngeal size 3 - orange</v>
      </c>
      <c r="E38" s="93" t="s">
        <v>119</v>
      </c>
      <c r="F38" s="67">
        <v>0.24</v>
      </c>
      <c r="G38" s="59">
        <v>1</v>
      </c>
      <c r="H38" s="88"/>
      <c r="I38" s="88"/>
      <c r="J38" s="88"/>
      <c r="K38" s="88"/>
    </row>
    <row r="39" spans="1:11">
      <c r="A39" s="91" t="s">
        <v>120</v>
      </c>
      <c r="B39" s="59">
        <f>+B38+1</f>
        <v>31</v>
      </c>
      <c r="C39" s="83">
        <f>F39/G39</f>
        <v>0.24</v>
      </c>
      <c r="D39" s="92" t="str">
        <f>+A39</f>
        <v>Airway oropharyngeal size 4 - red</v>
      </c>
      <c r="E39" s="93" t="s">
        <v>121</v>
      </c>
      <c r="F39" s="67">
        <v>0.24</v>
      </c>
      <c r="G39" s="59">
        <v>1</v>
      </c>
      <c r="H39" s="88"/>
      <c r="I39" s="88"/>
      <c r="J39" s="88"/>
      <c r="K39" s="88"/>
    </row>
    <row r="40" spans="1:11">
      <c r="A40" s="91" t="s">
        <v>122</v>
      </c>
      <c r="B40" s="59">
        <f>+B39+1</f>
        <v>32</v>
      </c>
      <c r="C40" s="83">
        <f>F40/G40</f>
        <v>0.71</v>
      </c>
      <c r="D40" s="92" t="str">
        <f>+A40</f>
        <v>nasal cannula - paediatric</v>
      </c>
      <c r="E40" s="93" t="s">
        <v>123</v>
      </c>
      <c r="F40" s="67">
        <v>0.71</v>
      </c>
      <c r="G40" s="59">
        <v>1</v>
      </c>
      <c r="H40" s="88"/>
      <c r="I40" s="88"/>
      <c r="J40" s="88"/>
      <c r="K40" s="88"/>
    </row>
    <row r="41" spans="1:11">
      <c r="A41" s="91" t="s">
        <v>124</v>
      </c>
      <c r="B41" s="59">
        <f>+B40+1</f>
        <v>33</v>
      </c>
      <c r="C41" s="83">
        <f>F41/G41</f>
        <v>0.36</v>
      </c>
      <c r="D41" s="92" t="str">
        <f>+A41</f>
        <v>nasal cannula - adult</v>
      </c>
      <c r="E41" s="93" t="s">
        <v>125</v>
      </c>
      <c r="F41" s="67">
        <v>0.36</v>
      </c>
      <c r="G41" s="59">
        <v>1</v>
      </c>
      <c r="H41" s="88"/>
      <c r="I41" s="88"/>
      <c r="J41" s="88"/>
      <c r="K41" s="88"/>
    </row>
    <row r="42" spans="1:11">
      <c r="A42" s="91" t="s">
        <v>126</v>
      </c>
      <c r="B42" s="59">
        <f>+B41+1</f>
        <v>34</v>
      </c>
      <c r="C42" s="83">
        <f>F42/G42</f>
        <v>0.53</v>
      </c>
      <c r="D42" s="92" t="str">
        <f>+A42</f>
        <v>facemask aerosol - paediatric</v>
      </c>
      <c r="E42" s="93" t="s">
        <v>127</v>
      </c>
      <c r="F42" s="67">
        <v>0.53</v>
      </c>
      <c r="G42" s="59">
        <v>1</v>
      </c>
      <c r="H42" s="88"/>
      <c r="I42" s="88"/>
      <c r="J42" s="88"/>
      <c r="K42" s="88"/>
    </row>
    <row r="43" spans="1:11">
      <c r="A43" s="91" t="s">
        <v>128</v>
      </c>
      <c r="B43" s="59">
        <f>+B42+1</f>
        <v>35</v>
      </c>
      <c r="C43" s="83">
        <f>F43/G43</f>
        <v>0.33</v>
      </c>
      <c r="D43" s="92" t="str">
        <f>+A43</f>
        <v>facemask aerosol - adult with nebuliser connector</v>
      </c>
      <c r="E43" s="93" t="s">
        <v>129</v>
      </c>
      <c r="F43" s="67">
        <v>0.33</v>
      </c>
      <c r="G43" s="59">
        <v>1</v>
      </c>
      <c r="H43" s="88"/>
      <c r="I43" s="88"/>
      <c r="J43" s="88"/>
      <c r="K43" s="88"/>
    </row>
    <row r="44" spans="1:11">
      <c r="A44" s="91" t="s">
        <v>130</v>
      </c>
      <c r="B44" s="59">
        <f>+B43+1</f>
        <v>36</v>
      </c>
      <c r="C44" s="83">
        <f>F44/G44</f>
        <v>0.88</v>
      </c>
      <c r="D44" s="92" t="str">
        <f>+A44</f>
        <v>facemask aerosol - adult non rebreathing</v>
      </c>
      <c r="E44" s="93" t="s">
        <v>131</v>
      </c>
      <c r="F44" s="67">
        <v>0.88</v>
      </c>
      <c r="G44" s="59">
        <v>1</v>
      </c>
      <c r="H44" s="88"/>
      <c r="I44" s="88"/>
      <c r="J44" s="88"/>
      <c r="K44" s="88"/>
    </row>
    <row r="45" spans="1:11">
      <c r="A45" s="91" t="s">
        <v>132</v>
      </c>
      <c r="B45" s="59">
        <f>+B44+1</f>
        <v>37</v>
      </c>
      <c r="C45" s="83">
        <f>F45/G45</f>
        <v>0.79</v>
      </c>
      <c r="D45" s="92" t="str">
        <f>+A45</f>
        <v>facemask single use - paediatric</v>
      </c>
      <c r="E45" s="93" t="s">
        <v>133</v>
      </c>
      <c r="F45" s="67">
        <v>0.79</v>
      </c>
      <c r="G45" s="59">
        <v>1</v>
      </c>
      <c r="H45" s="88"/>
      <c r="I45" s="88"/>
      <c r="J45" s="88"/>
      <c r="K45" s="88"/>
    </row>
    <row r="46" spans="1:11">
      <c r="A46" s="91" t="s">
        <v>134</v>
      </c>
      <c r="B46" s="59">
        <f>+B45+1</f>
        <v>38</v>
      </c>
      <c r="C46" s="83">
        <f>F46/G46</f>
        <v>0.36</v>
      </c>
      <c r="D46" s="92" t="str">
        <f>+A46</f>
        <v>facemask oxygen med conc - paediatric</v>
      </c>
      <c r="E46" s="93" t="s">
        <v>135</v>
      </c>
      <c r="F46" s="67">
        <v>0.36</v>
      </c>
      <c r="G46" s="59">
        <v>1</v>
      </c>
      <c r="H46" s="88"/>
      <c r="I46" s="88"/>
      <c r="J46" s="88"/>
      <c r="K46" s="88"/>
    </row>
    <row r="47" spans="1:11">
      <c r="A47" s="91" t="s">
        <v>136</v>
      </c>
      <c r="B47" s="59">
        <f>+B46+1</f>
        <v>39</v>
      </c>
      <c r="C47" s="83">
        <f>F47/G47</f>
        <v>0.27</v>
      </c>
      <c r="D47" s="92" t="str">
        <f>+A47</f>
        <v>facemask oxygen med conc - adult</v>
      </c>
      <c r="E47" s="93" t="s">
        <v>137</v>
      </c>
      <c r="F47" s="67">
        <v>0.27</v>
      </c>
      <c r="G47" s="59">
        <v>1</v>
      </c>
      <c r="H47" s="88"/>
      <c r="I47" s="88"/>
      <c r="J47" s="88"/>
      <c r="K47" s="88"/>
    </row>
    <row r="48" spans="1:11">
      <c r="A48" s="91" t="s">
        <v>138</v>
      </c>
      <c r="B48" s="59">
        <f>+B47+1</f>
        <v>40</v>
      </c>
      <c r="C48" s="83">
        <f>F48/G48</f>
        <v>1.14</v>
      </c>
      <c r="D48" s="92" t="str">
        <f>+A48</f>
        <v>catheter mount for suction catheteres</v>
      </c>
      <c r="E48" s="93" t="s">
        <v>139</v>
      </c>
      <c r="F48" s="67">
        <v>1.14</v>
      </c>
      <c r="G48" s="59">
        <v>1</v>
      </c>
      <c r="H48" s="88"/>
      <c r="I48" s="88"/>
      <c r="J48" s="88"/>
      <c r="K48" s="88"/>
    </row>
    <row r="49" spans="1:11">
      <c r="A49" s="91" t="s">
        <v>140</v>
      </c>
      <c r="B49" s="59">
        <f>+B48+1</f>
        <v>41</v>
      </c>
      <c r="C49" s="83">
        <f>F49/G49</f>
        <v>0.0361</v>
      </c>
      <c r="D49" s="92" t="str">
        <f>+A49</f>
        <v>Peak Flow Meter mouthpiece</v>
      </c>
      <c r="E49" s="93" t="s">
        <v>141</v>
      </c>
      <c r="F49" s="67">
        <v>18.05</v>
      </c>
      <c r="G49" s="59">
        <v>500</v>
      </c>
      <c r="H49" s="88"/>
      <c r="I49" s="88"/>
      <c r="J49" s="88"/>
      <c r="K49" s="88"/>
    </row>
    <row r="50" spans="1:11">
      <c r="A50" s="91" t="s">
        <v>142</v>
      </c>
      <c r="B50" s="59">
        <f>+B49+1</f>
        <v>42</v>
      </c>
      <c r="C50" s="83">
        <f>F50/G50</f>
        <v>0.02618</v>
      </c>
      <c r="D50" s="92" t="str">
        <f>+A50</f>
        <v>Peak Flow Meter mouthpiece single use - adult</v>
      </c>
      <c r="E50" s="93" t="s">
        <v>143</v>
      </c>
      <c r="F50" s="67">
        <v>13.09</v>
      </c>
      <c r="G50" s="59">
        <v>500</v>
      </c>
      <c r="H50" s="88"/>
      <c r="I50" s="88"/>
      <c r="J50" s="88"/>
      <c r="K50" s="88"/>
    </row>
    <row r="51" spans="1:11">
      <c r="A51" s="91" t="s">
        <v>144</v>
      </c>
      <c r="B51" s="59">
        <f>+B50+1</f>
        <v>43</v>
      </c>
      <c r="C51" s="83">
        <f>F51/G51</f>
        <v>1.23</v>
      </c>
      <c r="D51" s="92" t="str">
        <f>+A51</f>
        <v>Tracheal Tube sterile/siliconised (var sizes)</v>
      </c>
      <c r="E51" s="93" t="s">
        <v>145</v>
      </c>
      <c r="F51" s="67">
        <v>1.23</v>
      </c>
      <c r="G51" s="59">
        <v>1</v>
      </c>
      <c r="H51" s="88"/>
      <c r="I51" s="88"/>
      <c r="J51" s="88"/>
      <c r="K51" s="88"/>
    </row>
    <row r="52" spans="1:11">
      <c r="A52" s="91" t="s">
        <v>146</v>
      </c>
      <c r="B52" s="59">
        <f>+B51+1</f>
        <v>44</v>
      </c>
      <c r="C52" s="83">
        <f>F52/G52</f>
        <v>1.3</v>
      </c>
      <c r="D52" s="92" t="str">
        <f>+A52</f>
        <v>Tracheal Tube murphy eye sterile (var sizes)</v>
      </c>
      <c r="E52" s="93" t="s">
        <v>147</v>
      </c>
      <c r="F52" s="67">
        <v>1.3</v>
      </c>
      <c r="G52" s="59">
        <v>1</v>
      </c>
      <c r="H52" s="88"/>
      <c r="I52" s="88"/>
      <c r="J52" s="88"/>
      <c r="K52" s="88"/>
    </row>
    <row r="53" spans="1:11">
      <c r="A53" s="91" t="s">
        <v>148</v>
      </c>
      <c r="B53" s="59">
        <f>+B52+1</f>
        <v>45</v>
      </c>
      <c r="C53" s="83">
        <f>F53/G53</f>
        <v>1.0292000000000001</v>
      </c>
      <c r="D53" s="92" t="str">
        <f>+A53</f>
        <v>Mucus extractor/collector 20ml without catheter</v>
      </c>
      <c r="E53" s="93" t="s">
        <v>149</v>
      </c>
      <c r="F53" s="67">
        <v>51.46</v>
      </c>
      <c r="G53" s="59">
        <v>50</v>
      </c>
      <c r="H53" s="88"/>
      <c r="I53" s="88"/>
      <c r="J53" s="88"/>
      <c r="K53" s="88"/>
    </row>
    <row r="54" spans="1:11">
      <c r="A54" s="91" t="s">
        <v>150</v>
      </c>
      <c r="B54" s="59">
        <f>+B53+1</f>
        <v>46</v>
      </c>
      <c r="C54" s="83">
        <f>F54/G54</f>
        <v>4.079</v>
      </c>
      <c r="D54" s="92" t="str">
        <f>+A54</f>
        <v>Mucus extractor/collector with brochoscopy adaptor</v>
      </c>
      <c r="E54" s="93" t="s">
        <v>151</v>
      </c>
      <c r="F54" s="67">
        <v>81.58</v>
      </c>
      <c r="G54" s="59">
        <v>20</v>
      </c>
      <c r="H54" s="88"/>
      <c r="I54" s="88"/>
      <c r="J54" s="88"/>
      <c r="K54" s="88"/>
    </row>
    <row r="55" spans="1:11">
      <c r="A55" s="91" t="s">
        <v>152</v>
      </c>
      <c r="B55" s="59">
        <f>+B54+1</f>
        <v>47</v>
      </c>
      <c r="C55" s="83">
        <f>F55/G55</f>
        <v>0.3986</v>
      </c>
      <c r="D55" s="92" t="str">
        <f>+A55</f>
        <v>Tourniquet latex free blood collection</v>
      </c>
      <c r="E55" s="93" t="s">
        <v>153</v>
      </c>
      <c r="F55" s="67">
        <v>39.86</v>
      </c>
      <c r="G55" s="59">
        <v>100</v>
      </c>
      <c r="H55" s="88"/>
      <c r="I55" s="88"/>
      <c r="J55" s="88"/>
      <c r="K55" s="88"/>
    </row>
    <row r="56" spans="1:11">
      <c r="A56" s="91" t="s">
        <v>154</v>
      </c>
      <c r="B56" s="59">
        <f>+B55+1</f>
        <v>48</v>
      </c>
      <c r="C56" s="83">
        <f>F56/G56</f>
        <v>0.4472</v>
      </c>
      <c r="D56" s="92" t="str">
        <f>+A56</f>
        <v>Blood collection set 21g &amp; 23g</v>
      </c>
      <c r="E56" s="93" t="s">
        <v>155</v>
      </c>
      <c r="F56" s="67">
        <v>22.36</v>
      </c>
      <c r="G56" s="59">
        <v>50</v>
      </c>
      <c r="H56" s="88"/>
      <c r="I56" s="88"/>
      <c r="J56" s="88"/>
      <c r="K56" s="88"/>
    </row>
    <row r="57" spans="1:11">
      <c r="A57" s="91" t="s">
        <v>156</v>
      </c>
      <c r="B57" s="59">
        <f>+B56+1</f>
        <v>49</v>
      </c>
      <c r="C57" s="67">
        <v>1.95</v>
      </c>
      <c r="D57" s="92" t="str">
        <f>+A57</f>
        <v>Total equipment cost for single blood visit</v>
      </c>
      <c r="E57" s="93"/>
      <c r="F57" s="67"/>
      <c r="H57" s="88"/>
      <c r="I57" s="88"/>
      <c r="J57" s="88"/>
      <c r="K57" s="88"/>
    </row>
    <row r="58" spans="1:11">
      <c r="A58" s="91" t="s">
        <v>157</v>
      </c>
      <c r="B58" s="59">
        <f>+B57+1</f>
        <v>50</v>
      </c>
      <c r="C58" s="67">
        <v>0.19</v>
      </c>
      <c r="D58" s="92" t="str">
        <f>+A58</f>
        <v>Total cost for vaccination equipment per vaccine </v>
      </c>
      <c r="E58" s="93"/>
      <c r="F58" s="67"/>
      <c r="H58" s="88"/>
      <c r="I58" s="88"/>
      <c r="J58" s="88"/>
      <c r="K58" s="88"/>
    </row>
    <row r="59" spans="1:11">
      <c r="A59" s="91" t="s">
        <v>158</v>
      </c>
      <c r="B59" s="59">
        <f>+B58+1</f>
        <v>51</v>
      </c>
      <c r="C59" s="83">
        <f>F59/G59</f>
        <v>0.0161</v>
      </c>
      <c r="D59" s="92" t="str">
        <f>+A59</f>
        <v>Needles (pr Box)</v>
      </c>
      <c r="E59" s="91"/>
      <c r="F59" s="59">
        <v>1.61</v>
      </c>
      <c r="G59" s="59">
        <v>100</v>
      </c>
      <c r="H59" s="88"/>
      <c r="I59" s="88"/>
      <c r="J59" s="88"/>
      <c r="K59" s="88"/>
    </row>
    <row r="60" spans="1:11">
      <c r="A60" s="91" t="s">
        <v>159</v>
      </c>
      <c r="B60" s="59">
        <f>+B59+1</f>
        <v>52</v>
      </c>
      <c r="C60" s="94">
        <v>0.02</v>
      </c>
      <c r="D60" s="92" t="str">
        <f>+A60</f>
        <v>Blue Needles</v>
      </c>
      <c r="E60" s="91"/>
      <c r="H60" s="88"/>
      <c r="I60" s="88"/>
      <c r="J60" s="88"/>
      <c r="K60" s="88"/>
    </row>
    <row r="61" spans="1:11">
      <c r="A61" s="91" t="s">
        <v>160</v>
      </c>
      <c r="B61" s="59">
        <f>+B60+1</f>
        <v>53</v>
      </c>
      <c r="C61" s="94">
        <v>0.02</v>
      </c>
      <c r="D61" s="92" t="str">
        <f>+A61</f>
        <v>Green Needles</v>
      </c>
      <c r="E61" s="91"/>
      <c r="H61" s="88"/>
      <c r="I61" s="88"/>
      <c r="J61" s="88"/>
      <c r="K61" s="88"/>
    </row>
    <row r="62" spans="1:12">
      <c r="A62" s="91" t="s">
        <v>161</v>
      </c>
      <c r="B62" s="59">
        <f>+B61+1</f>
        <v>54</v>
      </c>
      <c r="C62" s="83">
        <f>F62/G62</f>
        <v>0.0398</v>
      </c>
      <c r="D62" s="92" t="str">
        <f>+A62</f>
        <v>Mepopore tape (60 rolls)</v>
      </c>
      <c r="E62" s="91"/>
      <c r="F62" s="59">
        <v>3.98</v>
      </c>
      <c r="G62" s="59">
        <v>100</v>
      </c>
      <c r="I62" s="88"/>
      <c r="J62" s="88"/>
      <c r="K62" s="88"/>
      <c r="L62" s="88"/>
    </row>
    <row r="63" spans="1:12">
      <c r="A63" s="91" t="s">
        <v>162</v>
      </c>
      <c r="B63" s="59">
        <f>+B62+1</f>
        <v>55</v>
      </c>
      <c r="C63" s="83">
        <f>F63/G63</f>
        <v>0.0278</v>
      </c>
      <c r="D63" s="92" t="str">
        <f>+A63</f>
        <v>Plasters (Pack 100)</v>
      </c>
      <c r="E63" s="91"/>
      <c r="F63" s="59">
        <v>2.78</v>
      </c>
      <c r="G63" s="59">
        <v>100</v>
      </c>
      <c r="H63" s="82"/>
      <c r="I63" s="88"/>
      <c r="J63" s="88"/>
      <c r="K63" s="95"/>
      <c r="L63" s="88"/>
    </row>
    <row r="64" spans="1:12">
      <c r="A64" s="91" t="s">
        <v>163</v>
      </c>
      <c r="B64" s="59">
        <f>+B63+1</f>
        <v>56</v>
      </c>
      <c r="C64" s="94">
        <v>0.01</v>
      </c>
      <c r="D64" s="92" t="str">
        <f>+A64</f>
        <v>Spot plasters</v>
      </c>
      <c r="E64" s="91"/>
      <c r="H64" s="82"/>
      <c r="I64" s="88"/>
      <c r="J64" s="88"/>
      <c r="K64" s="95"/>
      <c r="L64" s="88"/>
    </row>
    <row r="65" spans="1:12">
      <c r="A65" s="91" t="s">
        <v>164</v>
      </c>
      <c r="B65" s="59">
        <f>+B64+1</f>
        <v>57</v>
      </c>
      <c r="C65" s="94">
        <v>0.22</v>
      </c>
      <c r="D65" s="92" t="str">
        <f>+A65</f>
        <v>tagaderm dressings</v>
      </c>
      <c r="E65" s="91"/>
      <c r="H65" s="82"/>
      <c r="I65" s="88"/>
      <c r="J65" s="88"/>
      <c r="K65" s="95"/>
      <c r="L65" s="88"/>
    </row>
    <row r="66" spans="1:8">
      <c r="A66" s="91" t="s">
        <v>165</v>
      </c>
      <c r="B66" s="59">
        <f>+B65+1</f>
        <v>58</v>
      </c>
      <c r="C66" s="94">
        <f>F66/G66</f>
        <v>0.0096</v>
      </c>
      <c r="D66" s="92" t="str">
        <f>+A66</f>
        <v>Sterets(pack 100)</v>
      </c>
      <c r="E66" s="91"/>
      <c r="F66" s="59">
        <v>0.96</v>
      </c>
      <c r="G66" s="59">
        <v>100</v>
      </c>
      <c r="H66" s="82"/>
    </row>
    <row r="67" spans="1:8">
      <c r="A67" s="91" t="s">
        <v>166</v>
      </c>
      <c r="B67" s="59">
        <f>+B66+1</f>
        <v>59</v>
      </c>
      <c r="C67" s="94">
        <v>0.03</v>
      </c>
      <c r="D67" s="92" t="str">
        <f>+A67</f>
        <v>Syringes - 2ml  each</v>
      </c>
      <c r="E67" s="91"/>
      <c r="H67" s="82"/>
    </row>
    <row r="68" spans="1:8">
      <c r="A68" s="91" t="s">
        <v>167</v>
      </c>
      <c r="B68" s="59">
        <f>+B67+1</f>
        <v>60</v>
      </c>
      <c r="C68" s="83">
        <f>F68/G68</f>
        <v>0.0415</v>
      </c>
      <c r="D68" s="92" t="str">
        <f>+A68</f>
        <v>Syringes - 5ml  (100)</v>
      </c>
      <c r="E68" s="91"/>
      <c r="F68" s="59">
        <v>4.15</v>
      </c>
      <c r="G68" s="59">
        <v>100</v>
      </c>
      <c r="H68" s="82"/>
    </row>
    <row r="69" spans="1:8">
      <c r="A69" s="91" t="s">
        <v>168</v>
      </c>
      <c r="B69" s="59">
        <f>+B68+1</f>
        <v>61</v>
      </c>
      <c r="C69" s="83">
        <f>F69/G69</f>
        <v>0.0584</v>
      </c>
      <c r="D69" s="92" t="str">
        <f>+A69</f>
        <v>Syringes - 10ml  (100)</v>
      </c>
      <c r="E69" s="91"/>
      <c r="F69" s="59">
        <v>5.84</v>
      </c>
      <c r="G69" s="59">
        <v>100</v>
      </c>
      <c r="H69" s="82"/>
    </row>
    <row r="70" spans="1:8">
      <c r="A70" s="91" t="s">
        <v>169</v>
      </c>
      <c r="B70" s="59">
        <f>+B69+1</f>
        <v>62</v>
      </c>
      <c r="C70" s="83">
        <f>F70/G70</f>
        <v>0.1121</v>
      </c>
      <c r="D70" s="92" t="str">
        <f>+A70</f>
        <v>Syringes - 20ml  (100)</v>
      </c>
      <c r="E70" s="91"/>
      <c r="F70" s="59">
        <v>11.21</v>
      </c>
      <c r="G70" s="59">
        <v>100</v>
      </c>
      <c r="H70" s="82"/>
    </row>
    <row r="71" spans="1:8">
      <c r="A71" s="91" t="s">
        <v>170</v>
      </c>
      <c r="B71" s="59">
        <f>+B70+1</f>
        <v>63</v>
      </c>
      <c r="C71" s="67">
        <v>0.74</v>
      </c>
      <c r="D71" s="92" t="str">
        <f>+A71</f>
        <v>Venflons blue</v>
      </c>
      <c r="E71" s="91"/>
      <c r="H71" s="82"/>
    </row>
    <row r="72" spans="1:8">
      <c r="A72" s="91" t="s">
        <v>171</v>
      </c>
      <c r="B72" s="59">
        <f>+B71+1</f>
        <v>64</v>
      </c>
      <c r="C72" s="67">
        <v>0.74</v>
      </c>
      <c r="D72" s="92" t="str">
        <f>+A72</f>
        <v>Venflons green</v>
      </c>
      <c r="E72" s="91"/>
      <c r="H72" s="82"/>
    </row>
    <row r="73" spans="1:8">
      <c r="A73" s="91" t="s">
        <v>172</v>
      </c>
      <c r="B73" s="59">
        <f>+B72+1</f>
        <v>65</v>
      </c>
      <c r="C73" s="67">
        <v>0.01</v>
      </c>
      <c r="D73" s="92" t="str">
        <f>+A73</f>
        <v>cotton wool balls</v>
      </c>
      <c r="E73" s="91"/>
      <c r="H73" s="82"/>
    </row>
    <row r="74" spans="1:8">
      <c r="A74" s="91" t="s">
        <v>173</v>
      </c>
      <c r="B74" s="59">
        <f>+B73+1</f>
        <v>66</v>
      </c>
      <c r="C74" s="67">
        <v>3.74</v>
      </c>
      <c r="D74" s="92" t="str">
        <f>+A74</f>
        <v>Instrument tray</v>
      </c>
      <c r="E74" s="91"/>
      <c r="H74" s="82"/>
    </row>
    <row r="75" spans="1:8">
      <c r="A75" s="91" t="s">
        <v>174</v>
      </c>
      <c r="B75" s="59">
        <f>+B74+1</f>
        <v>67</v>
      </c>
      <c r="C75" s="67">
        <v>0.77</v>
      </c>
      <c r="D75" s="92" t="str">
        <f>+A75</f>
        <v>liquid handwash</v>
      </c>
      <c r="E75" s="91"/>
      <c r="H75" s="82"/>
    </row>
    <row r="76" spans="1:8">
      <c r="A76" s="91" t="s">
        <v>175</v>
      </c>
      <c r="B76" s="59">
        <f>+B75+1</f>
        <v>68</v>
      </c>
      <c r="C76" s="67">
        <v>0.01</v>
      </c>
      <c r="D76" s="92" t="str">
        <f>+A76</f>
        <v>Cleaning wipes</v>
      </c>
      <c r="E76" s="91"/>
      <c r="H76" s="82"/>
    </row>
    <row r="77" spans="1:8">
      <c r="A77" s="91" t="s">
        <v>176</v>
      </c>
      <c r="B77" s="59">
        <f>+B76+1</f>
        <v>69</v>
      </c>
      <c r="C77" s="67">
        <v>0.19</v>
      </c>
      <c r="D77" s="92" t="str">
        <f>+A77</f>
        <v>Blue butterflies</v>
      </c>
      <c r="E77" s="91"/>
      <c r="H77" s="82"/>
    </row>
    <row r="78" spans="1:8">
      <c r="A78" s="91" t="s">
        <v>177</v>
      </c>
      <c r="B78" s="59">
        <f>+B77+1</f>
        <v>70</v>
      </c>
      <c r="C78" s="67">
        <v>0.24</v>
      </c>
      <c r="D78" s="92" t="str">
        <f>+A78</f>
        <v>Green butterflies</v>
      </c>
      <c r="E78" s="91"/>
      <c r="H78" s="82"/>
    </row>
    <row r="79" spans="1:8">
      <c r="A79" s="91" t="s">
        <v>178</v>
      </c>
      <c r="B79" s="59">
        <f>+B78+1</f>
        <v>71</v>
      </c>
      <c r="C79" s="83">
        <f>F79/G79</f>
        <v>5.1505</v>
      </c>
      <c r="D79" s="92" t="str">
        <f>+A79</f>
        <v>Burrette giving set (box 20)</v>
      </c>
      <c r="E79" s="91"/>
      <c r="F79" s="59">
        <v>103.01</v>
      </c>
      <c r="G79" s="59">
        <v>20</v>
      </c>
      <c r="H79" s="82"/>
    </row>
    <row r="80" spans="1:8">
      <c r="A80" s="91" t="s">
        <v>179</v>
      </c>
      <c r="B80" s="59">
        <f>+B79+1</f>
        <v>72</v>
      </c>
      <c r="C80" s="83">
        <v>0.1</v>
      </c>
      <c r="D80" s="92" t="str">
        <f>+A80</f>
        <v>blood bottle (Vacutainer)</v>
      </c>
      <c r="E80" s="91"/>
      <c r="H80" s="82"/>
    </row>
    <row r="81" spans="1:8">
      <c r="A81" s="91" t="s">
        <v>180</v>
      </c>
      <c r="B81" s="59">
        <f>+B80+1</f>
        <v>73</v>
      </c>
      <c r="C81" s="83">
        <f>F81/G81</f>
        <v>4.0036666666666667</v>
      </c>
      <c r="D81" s="92" t="str">
        <f>+A81</f>
        <v>Blood giving set (box 60)</v>
      </c>
      <c r="E81" s="91"/>
      <c r="F81" s="59">
        <v>240.22</v>
      </c>
      <c r="G81" s="59">
        <v>60</v>
      </c>
      <c r="H81" s="79"/>
    </row>
    <row r="82" spans="1:8">
      <c r="A82" s="91" t="s">
        <v>181</v>
      </c>
      <c r="B82" s="59">
        <f>+B81+1</f>
        <v>74</v>
      </c>
      <c r="C82" s="83">
        <f>F82/G82</f>
        <v>3.5912</v>
      </c>
      <c r="D82" s="92" t="str">
        <f>+A82</f>
        <v>Specimen giving sets (box 100)</v>
      </c>
      <c r="E82" s="91"/>
      <c r="F82" s="59">
        <v>359.12</v>
      </c>
      <c r="G82" s="59">
        <v>100</v>
      </c>
      <c r="H82" s="79"/>
    </row>
    <row r="83" spans="1:8">
      <c r="A83" s="91" t="s">
        <v>182</v>
      </c>
      <c r="B83" s="59">
        <f>+B82+1</f>
        <v>75</v>
      </c>
      <c r="C83" s="67">
        <v>0.58</v>
      </c>
      <c r="D83" s="92" t="str">
        <f>+A83</f>
        <v>Suction tubing</v>
      </c>
      <c r="E83" s="91"/>
      <c r="H83" s="79"/>
    </row>
    <row r="84" spans="1:8">
      <c r="A84" s="91" t="s">
        <v>183</v>
      </c>
      <c r="B84" s="59">
        <f>+B83+1</f>
        <v>76</v>
      </c>
      <c r="C84" s="67">
        <v>2.33</v>
      </c>
      <c r="D84" s="92" t="str">
        <f>+A84</f>
        <v>Oxygen tubing</v>
      </c>
      <c r="E84" s="91"/>
      <c r="H84" s="79"/>
    </row>
    <row r="85" spans="1:8">
      <c r="A85" s="91" t="s">
        <v>184</v>
      </c>
      <c r="B85" s="59">
        <f>+B84+1</f>
        <v>77</v>
      </c>
      <c r="C85" s="67">
        <v>0.86</v>
      </c>
      <c r="D85" s="92" t="str">
        <f>+A85</f>
        <v>Bandages 5cm</v>
      </c>
      <c r="E85" s="91"/>
      <c r="H85" s="79"/>
    </row>
    <row r="86" spans="1:8">
      <c r="A86" s="91" t="s">
        <v>185</v>
      </c>
      <c r="B86" s="59">
        <f>+B85+1</f>
        <v>78</v>
      </c>
      <c r="C86" s="67">
        <v>0.05</v>
      </c>
      <c r="D86" s="92" t="str">
        <f>+A86</f>
        <v>pair of gloves</v>
      </c>
      <c r="E86" s="91"/>
      <c r="H86" s="79"/>
    </row>
    <row r="87" spans="1:8">
      <c r="A87" s="91" t="s">
        <v>186</v>
      </c>
      <c r="B87" s="59">
        <f>+B86+1</f>
        <v>79</v>
      </c>
      <c r="C87" s="83">
        <f>F87/G87</f>
        <v>0.024700000000000003</v>
      </c>
      <c r="D87" s="92" t="str">
        <f>+A87</f>
        <v>Gloves non sterile (box 100)</v>
      </c>
      <c r="E87" s="91"/>
      <c r="F87" s="59">
        <v>2.47</v>
      </c>
      <c r="G87" s="59">
        <v>100</v>
      </c>
      <c r="H87" s="79"/>
    </row>
    <row r="88" spans="1:8">
      <c r="A88" s="91" t="s">
        <v>187</v>
      </c>
      <c r="B88" s="59">
        <f>+B87+1</f>
        <v>80</v>
      </c>
      <c r="C88" s="83">
        <f>F88/G88</f>
        <v>0.16219999999999998</v>
      </c>
      <c r="D88" s="92" t="str">
        <f>+A88</f>
        <v>Gloves sterile (box 50)</v>
      </c>
      <c r="E88" s="91"/>
      <c r="F88" s="59">
        <v>8.11</v>
      </c>
      <c r="G88" s="59">
        <v>50</v>
      </c>
      <c r="H88" s="79"/>
    </row>
    <row r="89" spans="1:8">
      <c r="A89" s="91" t="s">
        <v>188</v>
      </c>
      <c r="B89" s="59">
        <f>+B88+1</f>
        <v>81</v>
      </c>
      <c r="C89" s="83">
        <v>0.03</v>
      </c>
      <c r="D89" s="92" t="str">
        <f>+A89</f>
        <v>Yellow rubbish bags</v>
      </c>
      <c r="E89" s="91"/>
      <c r="H89" s="79"/>
    </row>
    <row r="90" spans="1:8">
      <c r="A90" s="91" t="s">
        <v>189</v>
      </c>
      <c r="B90" s="59">
        <f>+B89+1</f>
        <v>82</v>
      </c>
      <c r="C90" s="83">
        <f>F90/G90</f>
        <v>0.0723</v>
      </c>
      <c r="D90" s="92" t="str">
        <f>+A90</f>
        <v>Namebands - Child (pack 100)</v>
      </c>
      <c r="E90" s="91"/>
      <c r="F90" s="59">
        <v>7.23</v>
      </c>
      <c r="G90" s="59">
        <v>100</v>
      </c>
      <c r="H90" s="79"/>
    </row>
    <row r="91" spans="1:8">
      <c r="A91" s="91" t="s">
        <v>190</v>
      </c>
      <c r="B91" s="59">
        <f>+B90+1</f>
        <v>83</v>
      </c>
      <c r="C91" s="83">
        <f>F91/G91</f>
        <v>0.0697</v>
      </c>
      <c r="D91" s="92" t="str">
        <f>+A91</f>
        <v>Namebands - Adult (pack 100)</v>
      </c>
      <c r="E91" s="91"/>
      <c r="F91" s="59">
        <v>6.97</v>
      </c>
      <c r="G91" s="59">
        <v>100</v>
      </c>
      <c r="H91" s="79"/>
    </row>
    <row r="92" spans="1:8">
      <c r="A92" s="91" t="s">
        <v>191</v>
      </c>
      <c r="B92" s="59">
        <f>+B91+1</f>
        <v>84</v>
      </c>
      <c r="C92" s="83">
        <f>F92/G92</f>
        <v>0.1377</v>
      </c>
      <c r="D92" s="92" t="str">
        <f>+A92</f>
        <v>Oral Syringes - 5ml (box 100)</v>
      </c>
      <c r="E92" s="91"/>
      <c r="F92" s="59">
        <v>13.77</v>
      </c>
      <c r="G92" s="59">
        <v>100</v>
      </c>
      <c r="H92" s="79"/>
    </row>
    <row r="93" spans="1:8">
      <c r="A93" s="91" t="s">
        <v>192</v>
      </c>
      <c r="B93" s="59">
        <f>+B92+1</f>
        <v>85</v>
      </c>
      <c r="C93" s="83">
        <f>F93/G93</f>
        <v>0.1492</v>
      </c>
      <c r="D93" s="92" t="str">
        <f>+A93</f>
        <v>Oral Syringes - 10ml (box 100)</v>
      </c>
      <c r="E93" s="91"/>
      <c r="F93" s="59">
        <v>14.92</v>
      </c>
      <c r="G93" s="59">
        <v>100</v>
      </c>
      <c r="H93" s="79"/>
    </row>
    <row r="94" spans="1:7">
      <c r="A94" s="91" t="s">
        <v>193</v>
      </c>
      <c r="B94" s="59">
        <f>+B93+1</f>
        <v>86</v>
      </c>
      <c r="C94" s="83">
        <f>F94/G94</f>
        <v>0.0246</v>
      </c>
      <c r="D94" s="92" t="str">
        <f>+A94</f>
        <v>Plastic Aprons (roll 200)</v>
      </c>
      <c r="E94" s="91"/>
      <c r="F94" s="59">
        <v>4.92</v>
      </c>
      <c r="G94" s="59">
        <v>200</v>
      </c>
    </row>
    <row r="95" spans="1:8">
      <c r="A95" s="91" t="s">
        <v>194</v>
      </c>
      <c r="B95" s="59">
        <f>+B94+1</f>
        <v>87</v>
      </c>
      <c r="C95" s="67">
        <v>0.36</v>
      </c>
      <c r="D95" s="92" t="str">
        <f>+A95</f>
        <v>Tissues</v>
      </c>
      <c r="E95" s="91"/>
      <c r="H95" s="96"/>
    </row>
    <row r="96" spans="1:8">
      <c r="A96" s="91" t="s">
        <v>195</v>
      </c>
      <c r="B96" s="59">
        <f>+B95+1</f>
        <v>88</v>
      </c>
      <c r="C96" s="67">
        <v>3.53</v>
      </c>
      <c r="D96" s="92" t="str">
        <f>+A96</f>
        <v>Stethescope</v>
      </c>
      <c r="E96" s="91"/>
      <c r="H96" s="96"/>
    </row>
    <row r="97" spans="1:8">
      <c r="A97" s="91" t="s">
        <v>196</v>
      </c>
      <c r="B97" s="59">
        <f>+B96+1</f>
        <v>89</v>
      </c>
      <c r="C97" s="67">
        <v>331.53</v>
      </c>
      <c r="D97" s="92" t="str">
        <f>+A97</f>
        <v>Oxygen saturation probes (non disposable)</v>
      </c>
      <c r="E97" s="91"/>
      <c r="H97" s="96"/>
    </row>
    <row r="98" spans="1:8">
      <c r="A98" s="91" t="s">
        <v>197</v>
      </c>
      <c r="B98" s="59">
        <f>+B97+1</f>
        <v>90</v>
      </c>
      <c r="C98" s="83">
        <f>F98/G98</f>
        <v>0.0913</v>
      </c>
      <c r="D98" s="92" t="str">
        <f>+A98</f>
        <v>Urine bottle - disposable (pack 200)</v>
      </c>
      <c r="E98" s="91"/>
      <c r="F98" s="59">
        <v>18.26</v>
      </c>
      <c r="G98" s="59">
        <v>200</v>
      </c>
      <c r="H98" s="79"/>
    </row>
    <row r="99" spans="1:8">
      <c r="A99" s="91" t="s">
        <v>198</v>
      </c>
      <c r="B99" s="59">
        <f>+B98+1</f>
        <v>91</v>
      </c>
      <c r="C99" s="83">
        <f>F99/G99</f>
        <v>0.16454999999999997</v>
      </c>
      <c r="D99" s="92" t="str">
        <f>+A99</f>
        <v>Slipper pans -disposable (pack 200)</v>
      </c>
      <c r="E99" s="91"/>
      <c r="F99" s="59">
        <v>32.91</v>
      </c>
      <c r="G99" s="59">
        <v>200</v>
      </c>
      <c r="H99" s="79"/>
    </row>
    <row r="100" spans="1:8">
      <c r="A100" s="91" t="s">
        <v>199</v>
      </c>
      <c r="B100" s="59">
        <f>+B99+1</f>
        <v>92</v>
      </c>
      <c r="C100" s="83">
        <f>F100/G100</f>
        <v>0.04825</v>
      </c>
      <c r="D100" s="92" t="str">
        <f>+A100</f>
        <v>Vomit bowls - disposable (pack 200)</v>
      </c>
      <c r="E100" s="91"/>
      <c r="F100" s="59">
        <v>9.65</v>
      </c>
      <c r="G100" s="59">
        <v>200</v>
      </c>
      <c r="H100" s="79"/>
    </row>
    <row r="101" spans="1:8">
      <c r="A101" s="91" t="s">
        <v>200</v>
      </c>
      <c r="B101" s="59">
        <f>+B100+1</f>
        <v>93</v>
      </c>
      <c r="C101" s="67">
        <v>1</v>
      </c>
      <c r="D101" s="92" t="str">
        <f>+A101</f>
        <v>Sharps bin small</v>
      </c>
      <c r="E101" s="91"/>
      <c r="H101" s="79"/>
    </row>
    <row r="102" spans="1:8">
      <c r="A102" s="91" t="s">
        <v>201</v>
      </c>
      <c r="B102" s="59">
        <f>+B101+1</f>
        <v>94</v>
      </c>
      <c r="C102" s="67">
        <v>1.3</v>
      </c>
      <c r="D102" s="92" t="str">
        <f>+A102</f>
        <v>Sharps bin 1 litre</v>
      </c>
      <c r="E102" s="91"/>
      <c r="H102" s="79"/>
    </row>
    <row r="103" spans="1:8">
      <c r="A103" s="91" t="s">
        <v>202</v>
      </c>
      <c r="B103" s="59">
        <f>+B102+1</f>
        <v>95</v>
      </c>
      <c r="C103" s="67">
        <v>1.2</v>
      </c>
      <c r="D103" s="92" t="str">
        <f>+A103</f>
        <v>Ametop per tube</v>
      </c>
      <c r="E103" s="91"/>
      <c r="H103" s="79"/>
    </row>
    <row r="104" spans="1:8">
      <c r="A104" s="91" t="s">
        <v>203</v>
      </c>
      <c r="B104" s="59">
        <f>+B103+1</f>
        <v>96</v>
      </c>
      <c r="C104" s="67">
        <v>2.02</v>
      </c>
      <c r="D104" s="92" t="str">
        <f>+A104</f>
        <v>Emla per tube</v>
      </c>
      <c r="E104" s="91"/>
      <c r="H104" s="79"/>
    </row>
    <row r="105" spans="1:8">
      <c r="A105" s="91" t="s">
        <v>204</v>
      </c>
      <c r="B105" s="59">
        <f>+B104+1</f>
        <v>97</v>
      </c>
      <c r="C105" s="67">
        <v>16.21</v>
      </c>
      <c r="D105" s="92" t="str">
        <f>+A105</f>
        <v>Ethyl chloride spray per canister</v>
      </c>
      <c r="E105" s="91"/>
      <c r="H105" s="79"/>
    </row>
    <row r="106" spans="1:8">
      <c r="A106" s="91" t="s">
        <v>205</v>
      </c>
      <c r="B106" s="59">
        <f>+B105+1</f>
        <v>98</v>
      </c>
      <c r="C106" s="67">
        <v>13</v>
      </c>
      <c r="D106" s="92" t="str">
        <f>+A106</f>
        <v>Dry ice per 10kg bag</v>
      </c>
      <c r="E106" s="91"/>
      <c r="H106" s="79"/>
    </row>
    <row r="107" spans="1:8">
      <c r="A107" s="91" t="s">
        <v>206</v>
      </c>
      <c r="B107" s="59">
        <f>+B106+1</f>
        <v>99</v>
      </c>
      <c r="C107" s="67">
        <v>0.24</v>
      </c>
      <c r="D107" s="92" t="str">
        <f>+A107</f>
        <v>Adrenaline per ampule</v>
      </c>
      <c r="E107" s="91"/>
      <c r="H107" s="79"/>
    </row>
    <row r="108" spans="1:8">
      <c r="A108" s="91" t="s">
        <v>207</v>
      </c>
      <c r="B108" s="59">
        <f>+B107+1</f>
        <v>100</v>
      </c>
      <c r="C108" s="67">
        <v>0.12</v>
      </c>
      <c r="D108" s="92" t="str">
        <f>+A108</f>
        <v>Swab nasopharygeal</v>
      </c>
      <c r="E108" s="91"/>
      <c r="H108" s="79"/>
    </row>
    <row r="109" spans="1:8">
      <c r="A109" s="91" t="s">
        <v>208</v>
      </c>
      <c r="B109" s="59">
        <f>+B108+1</f>
        <v>101</v>
      </c>
      <c r="C109" s="67">
        <v>0.12</v>
      </c>
      <c r="D109" s="92" t="str">
        <f>+A109</f>
        <v>Swab oral</v>
      </c>
      <c r="E109" s="91"/>
      <c r="H109" s="79"/>
    </row>
    <row r="110" spans="1:8">
      <c r="A110" s="91" t="s">
        <v>209</v>
      </c>
      <c r="B110" s="59">
        <f>+B109+1</f>
        <v>102</v>
      </c>
      <c r="C110" s="67">
        <v>1.99</v>
      </c>
      <c r="D110" s="92" t="str">
        <f>+A110</f>
        <v>Digital thermometer</v>
      </c>
      <c r="E110" s="91"/>
      <c r="H110" s="79"/>
    </row>
    <row r="111" spans="1:8">
      <c r="A111" s="91" t="s">
        <v>210</v>
      </c>
      <c r="B111" s="59">
        <f>+B110+1</f>
        <v>103</v>
      </c>
      <c r="C111" s="67">
        <f>F111/G111</f>
        <v>0.0886</v>
      </c>
      <c r="D111" s="92" t="str">
        <f>+A111</f>
        <v>Thermometer dot matrix system single use</v>
      </c>
      <c r="E111" s="91"/>
      <c r="F111" s="59">
        <v>8.86</v>
      </c>
      <c r="G111" s="59">
        <v>100</v>
      </c>
      <c r="H111" s="79"/>
    </row>
    <row r="112" spans="1:8">
      <c r="A112" s="91" t="s">
        <v>211</v>
      </c>
      <c r="B112" s="59">
        <f>+B111+1</f>
        <v>104</v>
      </c>
      <c r="C112" s="67">
        <v>0.99</v>
      </c>
      <c r="D112" s="92" t="str">
        <f>+A112</f>
        <v>Pregnancy testing kit</v>
      </c>
      <c r="E112" s="91"/>
      <c r="H112" s="79"/>
    </row>
    <row r="113" spans="1:8">
      <c r="A113" s="91" t="s">
        <v>212</v>
      </c>
      <c r="B113" s="59">
        <f>+B112+1</f>
        <v>105</v>
      </c>
      <c r="C113" s="67">
        <f>10*0.45</f>
        <v>4.5</v>
      </c>
      <c r="D113" s="92" t="str">
        <f>+A113</f>
        <v>Staff travel (est 10mile round trip)</v>
      </c>
      <c r="E113" s="91"/>
      <c r="H113" s="79"/>
    </row>
    <row r="114" spans="1:8">
      <c r="A114" s="91" t="s">
        <v>213</v>
      </c>
      <c r="B114" s="59">
        <f>+B113+1</f>
        <v>106</v>
      </c>
      <c r="C114" s="67">
        <f>15*0.45</f>
        <v>6.75</v>
      </c>
      <c r="D114" s="92" t="str">
        <f>+A114</f>
        <v>Staff travel (est 15mile round trip)</v>
      </c>
      <c r="E114" s="91"/>
      <c r="H114" s="79"/>
    </row>
    <row r="115" spans="1:8">
      <c r="A115" s="91" t="s">
        <v>214</v>
      </c>
      <c r="B115" s="59">
        <f>+B114+1</f>
        <v>107</v>
      </c>
      <c r="C115" s="67">
        <f>20*0.45</f>
        <v>9</v>
      </c>
      <c r="D115" s="92" t="str">
        <f>+A115</f>
        <v>Staff travel (est 20mile round trip)</v>
      </c>
      <c r="E115" s="91"/>
      <c r="H115" s="79"/>
    </row>
    <row r="116" spans="1:8">
      <c r="A116" s="91" t="s">
        <v>215</v>
      </c>
      <c r="B116" s="59">
        <f>+B115+1</f>
        <v>108</v>
      </c>
      <c r="C116" s="67">
        <f>25*0.45</f>
        <v>11.25</v>
      </c>
      <c r="D116" s="92" t="str">
        <f>+A116</f>
        <v>Staff travel (est 25mile round trip)</v>
      </c>
      <c r="E116" s="91"/>
      <c r="H116" s="79"/>
    </row>
    <row r="117" spans="1:8">
      <c r="A117" s="91" t="s">
        <v>216</v>
      </c>
      <c r="B117" s="59">
        <f>+B116+1</f>
        <v>109</v>
      </c>
      <c r="C117" s="67">
        <f>30*0.4</f>
        <v>12</v>
      </c>
      <c r="D117" s="92" t="str">
        <f>+A117</f>
        <v>Staff travel (est 30mile round trip)</v>
      </c>
      <c r="E117" s="91"/>
      <c r="H117" s="79"/>
    </row>
    <row r="118" spans="1:8">
      <c r="A118" s="91" t="s">
        <v>217</v>
      </c>
      <c r="B118" s="59">
        <f>+B117+1</f>
        <v>110</v>
      </c>
      <c r="C118" s="67">
        <f>35*0.4</f>
        <v>14</v>
      </c>
      <c r="D118" s="92" t="str">
        <f>+A118</f>
        <v>Staff travel (est 35mile round trip)</v>
      </c>
      <c r="E118" s="91"/>
      <c r="H118" s="79"/>
    </row>
    <row r="119" spans="1:8">
      <c r="A119" s="91" t="s">
        <v>218</v>
      </c>
      <c r="B119" s="59">
        <f>+B118+1</f>
        <v>111</v>
      </c>
      <c r="C119" s="67">
        <f>40*0.4</f>
        <v>16</v>
      </c>
      <c r="D119" s="92" t="str">
        <f>+A119</f>
        <v>Staff travel (est 40mile round trip)</v>
      </c>
      <c r="E119" s="91"/>
      <c r="H119" s="79"/>
    </row>
    <row r="120" spans="1:8">
      <c r="A120" s="91" t="s">
        <v>219</v>
      </c>
      <c r="B120" s="59">
        <f>+B119+1</f>
        <v>112</v>
      </c>
      <c r="C120" s="67">
        <f>45*0.4</f>
        <v>18</v>
      </c>
      <c r="D120" s="92" t="str">
        <f>+A120</f>
        <v>Staff travel (est 45mile round trip)</v>
      </c>
      <c r="E120" s="91"/>
      <c r="H120" s="79"/>
    </row>
    <row r="121" spans="1:8">
      <c r="A121" s="91" t="s">
        <v>220</v>
      </c>
      <c r="B121" s="59">
        <f>+B120+1</f>
        <v>113</v>
      </c>
      <c r="C121" s="67">
        <f>50*0.4</f>
        <v>20</v>
      </c>
      <c r="D121" s="92" t="str">
        <f>+A121</f>
        <v>Staff travel (est 50mile round trip)</v>
      </c>
      <c r="E121" s="91"/>
      <c r="H121" s="79"/>
    </row>
    <row r="122" spans="1:8">
      <c r="A122" s="91" t="s">
        <v>221</v>
      </c>
      <c r="B122" s="59">
        <f>+B121+1</f>
        <v>114</v>
      </c>
      <c r="C122" s="67">
        <v>37.5</v>
      </c>
      <c r="D122" s="92" t="str">
        <f>+A122</f>
        <v>WTCRF Room Hire</v>
      </c>
      <c r="E122" s="91"/>
      <c r="H122" s="79"/>
    </row>
    <row r="123" spans="1:8">
      <c r="A123" s="91" t="s">
        <v>222</v>
      </c>
      <c r="B123" s="59">
        <f>+B122+1</f>
        <v>115</v>
      </c>
      <c r="C123" s="83">
        <f>F123/G123</f>
        <v>0.0044</v>
      </c>
      <c r="D123" s="92" t="str">
        <f>+A123</f>
        <v>A4 white paper (500 sheets)</v>
      </c>
      <c r="E123" s="91"/>
      <c r="F123" s="59">
        <v>2.2</v>
      </c>
      <c r="G123" s="59">
        <v>500</v>
      </c>
      <c r="H123" s="79"/>
    </row>
    <row r="124" spans="1:8">
      <c r="A124" s="91" t="s">
        <v>223</v>
      </c>
      <c r="B124" s="59">
        <f>+B123+1</f>
        <v>116</v>
      </c>
      <c r="C124" s="83">
        <f>F124/G124</f>
        <v>0.032920000000000005</v>
      </c>
      <c r="D124" s="92" t="str">
        <f>+A124</f>
        <v>C5 envelopes (pack 500)</v>
      </c>
      <c r="E124" s="91"/>
      <c r="F124" s="59">
        <v>16.46</v>
      </c>
      <c r="G124" s="59">
        <v>500</v>
      </c>
      <c r="H124" s="79"/>
    </row>
    <row r="125" spans="1:7">
      <c r="A125" s="91" t="s">
        <v>224</v>
      </c>
      <c r="B125" s="59">
        <f>+B124+1</f>
        <v>117</v>
      </c>
      <c r="C125" s="83">
        <f>F125/G125</f>
        <v>0.00857</v>
      </c>
      <c r="D125" s="92" t="str">
        <f>+A125</f>
        <v>DL envelopes (pack 1000)</v>
      </c>
      <c r="E125" s="91"/>
      <c r="F125" s="59">
        <v>8.57</v>
      </c>
      <c r="G125" s="59">
        <v>1000</v>
      </c>
    </row>
    <row r="126" spans="1:5">
      <c r="A126" s="91" t="s">
        <v>225</v>
      </c>
      <c r="B126" s="59">
        <f>+B125+1</f>
        <v>118</v>
      </c>
      <c r="C126" s="67">
        <v>49.25</v>
      </c>
      <c r="D126" s="92" t="str">
        <f>+A126</f>
        <v>Printer Cartridge - Laser</v>
      </c>
      <c r="E126" s="91"/>
    </row>
    <row r="127" spans="1:5">
      <c r="A127" s="91" t="s">
        <v>226</v>
      </c>
      <c r="B127" s="59">
        <f>+B126+1</f>
        <v>119</v>
      </c>
      <c r="C127" s="67">
        <v>10.03</v>
      </c>
      <c r="D127" s="92" t="str">
        <f>+A127</f>
        <v>Printer Cartridge - Inkjet</v>
      </c>
      <c r="E127" s="91"/>
    </row>
    <row r="128" spans="1:5">
      <c r="A128" s="91" t="s">
        <v>227</v>
      </c>
      <c r="B128" s="59">
        <f>+B127+1</f>
        <v>120</v>
      </c>
      <c r="C128" s="67">
        <v>0.39</v>
      </c>
      <c r="D128" s="92" t="str">
        <f>+A128</f>
        <v>First class stamp</v>
      </c>
      <c r="E128" s="91"/>
    </row>
    <row r="129" spans="1:7" ht="13">
      <c r="A129" s="97" t="s">
        <v>228</v>
      </c>
      <c r="B129" s="59">
        <f>+B128+1</f>
        <v>121</v>
      </c>
      <c r="C129" s="67">
        <v>0</v>
      </c>
      <c r="D129" s="69" t="s">
        <v>228</v>
      </c>
      <c r="E129" s="90"/>
      <c r="F129" s="69"/>
      <c r="G129" s="69"/>
    </row>
    <row r="130" spans="1:5">
      <c r="A130" s="98" t="s">
        <v>229</v>
      </c>
      <c r="B130" s="59">
        <f>+B129+1</f>
        <v>122</v>
      </c>
      <c r="C130" s="67">
        <v>409.86</v>
      </c>
      <c r="D130" s="59" t="str">
        <f>+A130</f>
        <v>Desktop PC</v>
      </c>
      <c r="E130" s="98"/>
    </row>
    <row r="131" spans="1:5">
      <c r="A131" s="98" t="s">
        <v>230</v>
      </c>
      <c r="B131" s="59">
        <f>+B130+1</f>
        <v>123</v>
      </c>
      <c r="C131" s="67">
        <v>588.22</v>
      </c>
      <c r="D131" s="59" t="str">
        <f>+A131</f>
        <v>Laptop</v>
      </c>
      <c r="E131" s="98"/>
    </row>
    <row r="132" spans="1:5">
      <c r="A132" s="98" t="s">
        <v>231</v>
      </c>
      <c r="B132" s="59">
        <f>+B131+1</f>
        <v>124</v>
      </c>
      <c r="C132" s="67">
        <v>415</v>
      </c>
      <c r="D132" s="59" t="str">
        <f>+A132</f>
        <v>PDA</v>
      </c>
      <c r="E132" s="98"/>
    </row>
    <row r="133" spans="1:5">
      <c r="A133" s="98" t="s">
        <v>232</v>
      </c>
      <c r="B133" s="59">
        <f>+B132+1</f>
        <v>125</v>
      </c>
      <c r="C133" s="67">
        <v>130</v>
      </c>
      <c r="D133" s="59" t="str">
        <f>+A133</f>
        <v>Support Charge (per annum)</v>
      </c>
      <c r="E133" s="98"/>
    </row>
    <row r="134" spans="1:5">
      <c r="A134" s="98" t="s">
        <v>233</v>
      </c>
      <c r="B134" s="59">
        <f>+B133+1</f>
        <v>126</v>
      </c>
      <c r="C134" s="67">
        <v>215</v>
      </c>
      <c r="D134" s="59" t="str">
        <f>+A134</f>
        <v>Laser Printer</v>
      </c>
      <c r="E134" s="98"/>
    </row>
    <row r="135" spans="1:5">
      <c r="A135" s="98" t="s">
        <v>234</v>
      </c>
      <c r="B135" s="59">
        <f>+B134+1</f>
        <v>127</v>
      </c>
      <c r="C135" s="67">
        <v>350</v>
      </c>
      <c r="D135" s="59" t="str">
        <f>+A135</f>
        <v>Laser Printer - network</v>
      </c>
      <c r="E135" s="98"/>
    </row>
    <row r="136" spans="1:5">
      <c r="A136" s="98" t="s">
        <v>235</v>
      </c>
      <c r="B136" s="59">
        <f>+B135+1</f>
        <v>128</v>
      </c>
      <c r="C136" s="67">
        <v>125</v>
      </c>
      <c r="D136" s="59" t="str">
        <f>+A136</f>
        <v>Colour Inkjet</v>
      </c>
      <c r="E136" s="98"/>
    </row>
    <row r="137" spans="1:7" ht="13">
      <c r="A137" s="99" t="s">
        <v>236</v>
      </c>
      <c r="B137" s="59">
        <f>+B136+1</f>
        <v>129</v>
      </c>
      <c r="C137" s="67">
        <v>0</v>
      </c>
      <c r="D137" s="69" t="s">
        <v>236</v>
      </c>
      <c r="E137" s="90"/>
      <c r="F137" s="69"/>
      <c r="G137" s="69"/>
    </row>
    <row r="138" spans="1:5">
      <c r="A138" s="100" t="s">
        <v>237</v>
      </c>
      <c r="B138" s="59">
        <f>+B137+1</f>
        <v>130</v>
      </c>
      <c r="C138" s="67">
        <v>19</v>
      </c>
      <c r="D138" s="59" t="str">
        <f>+A138</f>
        <v>Audiometry</v>
      </c>
      <c r="E138" s="100"/>
    </row>
    <row r="139" spans="1:5">
      <c r="A139" s="100" t="s">
        <v>238</v>
      </c>
      <c r="B139" s="59">
        <f>+B138+1</f>
        <v>131</v>
      </c>
      <c r="C139" s="67">
        <v>19</v>
      </c>
      <c r="D139" s="59" t="str">
        <f>+A139</f>
        <v>Electrocardiograph</v>
      </c>
      <c r="E139" s="100"/>
    </row>
    <row r="140" spans="1:8">
      <c r="A140" s="100" t="s">
        <v>239</v>
      </c>
      <c r="B140" s="59">
        <f>+B139+1</f>
        <v>132</v>
      </c>
      <c r="C140" s="67">
        <v>72</v>
      </c>
      <c r="D140" s="59" t="str">
        <f>+A140</f>
        <v>DEXA</v>
      </c>
      <c r="E140" s="100" t="s">
        <v>240</v>
      </c>
      <c r="H140" s="79"/>
    </row>
    <row r="141" spans="1:10">
      <c r="A141" s="100" t="s">
        <v>241</v>
      </c>
      <c r="B141" s="59">
        <f>+B140+1</f>
        <v>133</v>
      </c>
      <c r="C141" s="67">
        <v>250</v>
      </c>
      <c r="D141" s="59" t="str">
        <f>+A141</f>
        <v>Echocardiography</v>
      </c>
      <c r="E141" s="100"/>
      <c r="H141" s="88"/>
      <c r="I141" s="88"/>
      <c r="J141" s="88"/>
    </row>
    <row r="142" spans="1:22" ht="13">
      <c r="A142" s="101" t="s">
        <v>242</v>
      </c>
      <c r="B142" s="59">
        <f>+B141+1</f>
        <v>134</v>
      </c>
      <c r="C142" s="102">
        <v>0</v>
      </c>
      <c r="D142" s="103" t="str">
        <f>+A142</f>
        <v>Clinical Biochemistry</v>
      </c>
      <c r="E142" s="104"/>
      <c r="T142" s="101"/>
      <c r="V142" s="67" t="s">
        <v>243</v>
      </c>
    </row>
    <row r="143" spans="1:22">
      <c r="A143" s="105" t="s">
        <v>244</v>
      </c>
      <c r="B143" s="59">
        <f>+B142+1</f>
        <v>135</v>
      </c>
      <c r="C143" s="102">
        <v>16.6</v>
      </c>
      <c r="D143" s="92" t="str">
        <f>+A143</f>
        <v>3 HYDROXYBUTERATE</v>
      </c>
      <c r="E143" s="105"/>
      <c r="T143" s="105" t="s">
        <v>245</v>
      </c>
      <c r="U143" s="106" t="s">
        <v>246</v>
      </c>
      <c r="V143" s="107">
        <v>9.7</v>
      </c>
    </row>
    <row r="144" spans="1:22">
      <c r="A144" s="105" t="s">
        <v>247</v>
      </c>
      <c r="B144" s="59">
        <f>+B143+1</f>
        <v>136</v>
      </c>
      <c r="C144" s="102">
        <v>12.3</v>
      </c>
      <c r="D144" s="92" t="str">
        <f>+A144</f>
        <v>17 OH PROGESTERONE - BLOOD SPOT</v>
      </c>
      <c r="E144" s="105"/>
      <c r="T144" s="105" t="s">
        <v>248</v>
      </c>
      <c r="U144" s="108" t="s">
        <v>249</v>
      </c>
      <c r="V144" s="107">
        <v>5</v>
      </c>
    </row>
    <row r="145" spans="1:22">
      <c r="A145" s="105" t="s">
        <v>250</v>
      </c>
      <c r="B145" s="59">
        <f>+B144+1</f>
        <v>137</v>
      </c>
      <c r="C145" s="102">
        <v>12.3</v>
      </c>
      <c r="D145" s="92" t="str">
        <f>+A145</f>
        <v>17 OH PROGESTERONE - SERUM</v>
      </c>
      <c r="E145" s="105"/>
      <c r="T145" s="105" t="s">
        <v>251</v>
      </c>
      <c r="U145" s="108" t="s">
        <v>252</v>
      </c>
      <c r="V145" s="107">
        <v>5</v>
      </c>
    </row>
    <row r="146" spans="1:22">
      <c r="A146" s="105" t="s">
        <v>253</v>
      </c>
      <c r="B146" s="59">
        <f>+B145+1</f>
        <v>138</v>
      </c>
      <c r="C146" s="102">
        <v>12.3</v>
      </c>
      <c r="D146" s="92" t="str">
        <f>+A146</f>
        <v>17 OH PROGESTERONE - URINE</v>
      </c>
      <c r="E146" s="105"/>
      <c r="T146" s="105" t="s">
        <v>254</v>
      </c>
      <c r="U146" s="108" t="s">
        <v>255</v>
      </c>
      <c r="V146" s="107">
        <v>5</v>
      </c>
    </row>
    <row r="147" spans="1:22">
      <c r="A147" s="105" t="s">
        <v>256</v>
      </c>
      <c r="B147" s="59">
        <f>+B146+1</f>
        <v>139</v>
      </c>
      <c r="C147" s="102">
        <v>25</v>
      </c>
      <c r="D147" s="92" t="str">
        <f>+A147</f>
        <v>5 -HIAA</v>
      </c>
      <c r="E147" s="105"/>
      <c r="T147" s="105" t="s">
        <v>257</v>
      </c>
      <c r="U147" s="109" t="s">
        <v>258</v>
      </c>
      <c r="V147" s="107">
        <v>13.1</v>
      </c>
    </row>
    <row r="148" spans="1:22">
      <c r="A148" s="105" t="s">
        <v>259</v>
      </c>
      <c r="B148" s="59">
        <f>+B147+1</f>
        <v>140</v>
      </c>
      <c r="C148" s="102">
        <v>28.5</v>
      </c>
      <c r="D148" s="92" t="str">
        <f>+A148</f>
        <v>18 HYROXY CORTISOL</v>
      </c>
      <c r="E148" s="105"/>
      <c r="T148" s="105" t="s">
        <v>260</v>
      </c>
      <c r="U148" s="108" t="s">
        <v>261</v>
      </c>
      <c r="V148" s="107">
        <v>11.9</v>
      </c>
    </row>
    <row r="149" spans="1:22">
      <c r="A149" s="105" t="s">
        <v>262</v>
      </c>
      <c r="B149" s="59">
        <f>+B148+1</f>
        <v>141</v>
      </c>
      <c r="C149" s="102">
        <v>28.5</v>
      </c>
      <c r="D149" s="92" t="str">
        <f>+A149</f>
        <v>18 HYROXY CORTISOL (URINE)</v>
      </c>
      <c r="E149" s="105"/>
      <c r="T149" s="105" t="s">
        <v>263</v>
      </c>
      <c r="U149" s="108" t="s">
        <v>264</v>
      </c>
      <c r="V149" s="107">
        <v>5</v>
      </c>
    </row>
    <row r="150" spans="1:22">
      <c r="A150" s="105" t="s">
        <v>265</v>
      </c>
      <c r="B150" s="59">
        <f>+B149+1</f>
        <v>142</v>
      </c>
      <c r="C150" s="102">
        <v>6.7</v>
      </c>
      <c r="D150" s="92" t="str">
        <f>+A150</f>
        <v>ACE</v>
      </c>
      <c r="E150" s="105"/>
      <c r="T150" s="105" t="s">
        <v>266</v>
      </c>
      <c r="U150" s="108" t="s">
        <v>266</v>
      </c>
      <c r="V150" s="107">
        <v>4.8</v>
      </c>
    </row>
    <row r="151" spans="1:22">
      <c r="A151" s="105" t="s">
        <v>267</v>
      </c>
      <c r="B151" s="59">
        <f>+B150+1</f>
        <v>143</v>
      </c>
      <c r="C151" s="102">
        <v>13.3</v>
      </c>
      <c r="D151" s="92" t="str">
        <f>+A151</f>
        <v>ACTH</v>
      </c>
      <c r="E151" s="105"/>
      <c r="T151" s="105" t="s">
        <v>268</v>
      </c>
      <c r="U151" s="108" t="s">
        <v>269</v>
      </c>
      <c r="V151" s="107">
        <v>4.4</v>
      </c>
    </row>
    <row r="152" spans="1:22">
      <c r="A152" s="105" t="s">
        <v>270</v>
      </c>
      <c r="B152" s="59">
        <f>+B151+1</f>
        <v>144</v>
      </c>
      <c r="C152" s="102">
        <v>11.9</v>
      </c>
      <c r="D152" s="92" t="str">
        <f>+A152</f>
        <v>AFP (CSF)</v>
      </c>
      <c r="E152" s="105"/>
      <c r="T152" s="105" t="s">
        <v>271</v>
      </c>
      <c r="U152" s="108" t="s">
        <v>272</v>
      </c>
      <c r="V152" s="107">
        <v>5</v>
      </c>
    </row>
    <row r="153" spans="1:22">
      <c r="A153" s="105" t="s">
        <v>273</v>
      </c>
      <c r="B153" s="59">
        <f>+B152+1</f>
        <v>145</v>
      </c>
      <c r="C153" s="102">
        <v>8.5</v>
      </c>
      <c r="D153" s="92" t="str">
        <f>+A153</f>
        <v>ALBUMIN (URINE)</v>
      </c>
      <c r="E153" s="105"/>
      <c r="T153" s="105" t="s">
        <v>274</v>
      </c>
      <c r="U153" s="108" t="s">
        <v>275</v>
      </c>
      <c r="V153" s="107">
        <v>5</v>
      </c>
    </row>
    <row r="154" spans="1:22">
      <c r="A154" s="105" t="s">
        <v>276</v>
      </c>
      <c r="B154" s="59">
        <f>+B153+1</f>
        <v>146</v>
      </c>
      <c r="C154" s="102">
        <v>24.1</v>
      </c>
      <c r="D154" s="92" t="str">
        <f>+A154</f>
        <v>ALDOSTERONE</v>
      </c>
      <c r="E154" s="105"/>
      <c r="T154" s="105" t="s">
        <v>277</v>
      </c>
      <c r="U154" s="108" t="s">
        <v>278</v>
      </c>
      <c r="V154" s="107">
        <v>9.7</v>
      </c>
    </row>
    <row r="155" spans="1:22">
      <c r="A155" s="105" t="s">
        <v>279</v>
      </c>
      <c r="B155" s="59">
        <f>+B154+1</f>
        <v>147</v>
      </c>
      <c r="C155" s="102">
        <v>14.7</v>
      </c>
      <c r="D155" s="92" t="str">
        <f>+A155</f>
        <v>ALK PHOS ISOENZYMES</v>
      </c>
      <c r="E155" s="105"/>
      <c r="T155" s="105" t="s">
        <v>280</v>
      </c>
      <c r="U155" s="108" t="s">
        <v>281</v>
      </c>
      <c r="V155" s="107">
        <v>2.8</v>
      </c>
    </row>
    <row r="156" spans="1:22">
      <c r="A156" s="105" t="s">
        <v>282</v>
      </c>
      <c r="B156" s="59">
        <f>+B155+1</f>
        <v>148</v>
      </c>
      <c r="C156" s="102">
        <v>53.1</v>
      </c>
      <c r="D156" s="92" t="str">
        <f>+A156</f>
        <v>ALDOSTERONE/RENIN RATIO</v>
      </c>
      <c r="E156" s="105"/>
      <c r="T156" s="105" t="s">
        <v>283</v>
      </c>
      <c r="U156" s="108" t="s">
        <v>284</v>
      </c>
      <c r="V156" s="107">
        <v>3.4</v>
      </c>
    </row>
    <row r="157" spans="1:22">
      <c r="A157" s="105" t="s">
        <v>285</v>
      </c>
      <c r="B157" s="59">
        <f>+B156+1</f>
        <v>149</v>
      </c>
      <c r="C157" s="102">
        <v>7.7</v>
      </c>
      <c r="D157" s="92" t="str">
        <f>+A157</f>
        <v>ALPHA-1 ANTITRYPSIN</v>
      </c>
      <c r="E157" s="105"/>
      <c r="T157" s="105" t="s">
        <v>286</v>
      </c>
      <c r="U157" s="108" t="s">
        <v>286</v>
      </c>
      <c r="V157" s="107">
        <v>3.4</v>
      </c>
    </row>
    <row r="158" spans="1:22">
      <c r="A158" s="105" t="s">
        <v>287</v>
      </c>
      <c r="B158" s="59">
        <f>+B157+1</f>
        <v>150</v>
      </c>
      <c r="C158" s="102">
        <v>27</v>
      </c>
      <c r="D158" s="92" t="str">
        <f>+A158</f>
        <v>ALPHA-1 AT PHENOTYPE</v>
      </c>
      <c r="E158" s="105"/>
      <c r="T158" s="105" t="s">
        <v>288</v>
      </c>
      <c r="U158" s="108" t="s">
        <v>289</v>
      </c>
      <c r="V158" s="107">
        <v>3.9</v>
      </c>
    </row>
    <row r="159" spans="1:22">
      <c r="A159" s="105" t="s">
        <v>290</v>
      </c>
      <c r="B159" s="59">
        <f>+B158+1</f>
        <v>151</v>
      </c>
      <c r="C159" s="102">
        <v>5</v>
      </c>
      <c r="D159" s="92" t="str">
        <f>+A159</f>
        <v>AMMONIA</v>
      </c>
      <c r="E159" s="105"/>
      <c r="T159" s="105" t="s">
        <v>291</v>
      </c>
      <c r="U159" s="108" t="s">
        <v>292</v>
      </c>
      <c r="V159" s="107">
        <v>11.7</v>
      </c>
    </row>
    <row r="160" spans="1:22">
      <c r="A160" s="110" t="s">
        <v>293</v>
      </c>
      <c r="B160" s="59">
        <f>+B159+1</f>
        <v>152</v>
      </c>
      <c r="C160" s="102">
        <v>32.2</v>
      </c>
      <c r="D160" s="92" t="str">
        <f>+A160</f>
        <v>AMINO ACIDS (PLASMA)</v>
      </c>
      <c r="E160" s="110"/>
      <c r="T160" s="110" t="s">
        <v>294</v>
      </c>
      <c r="U160" s="108" t="s">
        <v>295</v>
      </c>
      <c r="V160" s="107">
        <v>14.1</v>
      </c>
    </row>
    <row r="161" spans="1:22">
      <c r="A161" s="110" t="s">
        <v>296</v>
      </c>
      <c r="B161" s="59">
        <f>+B160+1</f>
        <v>153</v>
      </c>
      <c r="C161" s="102">
        <v>32.2</v>
      </c>
      <c r="D161" s="92" t="str">
        <f>+A161</f>
        <v>AMINO ACIDS (URINE)</v>
      </c>
      <c r="E161" s="83">
        <f>+X161</f>
        <v>0</v>
      </c>
      <c r="F161" s="83">
        <f>+Y161</f>
        <v>0</v>
      </c>
      <c r="G161" s="83">
        <f>+Z161</f>
        <v>0</v>
      </c>
      <c r="T161" s="110" t="s">
        <v>297</v>
      </c>
      <c r="U161" s="108" t="s">
        <v>298</v>
      </c>
      <c r="V161" s="107">
        <v>9.3</v>
      </c>
    </row>
    <row r="162" spans="1:22">
      <c r="A162" s="105" t="s">
        <v>299</v>
      </c>
      <c r="B162" s="59">
        <f>+B161+1</f>
        <v>154</v>
      </c>
      <c r="C162" s="102">
        <v>19.3</v>
      </c>
      <c r="D162" s="92" t="str">
        <f>+A162</f>
        <v>AMIODARONE</v>
      </c>
      <c r="E162" s="105"/>
      <c r="T162" s="105" t="s">
        <v>300</v>
      </c>
      <c r="U162" s="108" t="s">
        <v>301</v>
      </c>
      <c r="V162" s="107">
        <v>8.5</v>
      </c>
    </row>
    <row r="163" spans="1:22">
      <c r="A163" s="105" t="s">
        <v>302</v>
      </c>
      <c r="B163" s="59">
        <f>+B162+1</f>
        <v>155</v>
      </c>
      <c r="C163" s="102">
        <v>5</v>
      </c>
      <c r="D163" s="92" t="str">
        <f>+A163</f>
        <v>AMYLASE (FLUID)</v>
      </c>
      <c r="E163" s="105"/>
      <c r="T163" s="105" t="s">
        <v>303</v>
      </c>
      <c r="U163" s="108" t="s">
        <v>304</v>
      </c>
      <c r="V163" s="107">
        <v>5</v>
      </c>
    </row>
    <row r="164" spans="1:22">
      <c r="A164" s="105" t="s">
        <v>305</v>
      </c>
      <c r="B164" s="59">
        <f>+B163+1</f>
        <v>156</v>
      </c>
      <c r="C164" s="102">
        <v>9.7</v>
      </c>
      <c r="D164" s="92" t="str">
        <f>+A164</f>
        <v>ANDROSTENEDIONE (BLOOD SPOT)</v>
      </c>
      <c r="E164" s="105"/>
      <c r="T164" s="105" t="s">
        <v>306</v>
      </c>
      <c r="U164" s="108" t="s">
        <v>307</v>
      </c>
      <c r="V164" s="107">
        <v>6.7</v>
      </c>
    </row>
    <row r="165" spans="1:22">
      <c r="A165" s="105" t="s">
        <v>308</v>
      </c>
      <c r="B165" s="59">
        <f>+B164+1</f>
        <v>157</v>
      </c>
      <c r="C165" s="102">
        <v>9.7</v>
      </c>
      <c r="D165" s="92" t="str">
        <f>+A165</f>
        <v>ANDROSTENEDIONE (PLASMA)</v>
      </c>
      <c r="E165" s="105"/>
      <c r="T165" s="105" t="s">
        <v>309</v>
      </c>
      <c r="U165" s="108" t="s">
        <v>310</v>
      </c>
      <c r="V165" s="107">
        <v>3.4</v>
      </c>
    </row>
    <row r="166" spans="1:22">
      <c r="A166" s="105" t="s">
        <v>311</v>
      </c>
      <c r="B166" s="59">
        <f>+B165+1</f>
        <v>158</v>
      </c>
      <c r="C166" s="102">
        <v>13.1</v>
      </c>
      <c r="D166" s="92" t="str">
        <f>+A166</f>
        <v>BETA CAROTENE</v>
      </c>
      <c r="E166" s="105"/>
      <c r="T166" s="105" t="s">
        <v>312</v>
      </c>
      <c r="U166" s="108" t="s">
        <v>313</v>
      </c>
      <c r="V166" s="107">
        <v>3.4</v>
      </c>
    </row>
    <row r="167" spans="1:22">
      <c r="A167" s="105" t="s">
        <v>314</v>
      </c>
      <c r="B167" s="59">
        <f>+B166+1</f>
        <v>159</v>
      </c>
      <c r="C167" s="102">
        <v>8.2</v>
      </c>
      <c r="D167" s="92" t="str">
        <f>+A167</f>
        <v>BILE ACIDS</v>
      </c>
      <c r="E167" s="105"/>
      <c r="T167" s="105" t="s">
        <v>315</v>
      </c>
      <c r="U167" s="108" t="s">
        <v>316</v>
      </c>
      <c r="V167" s="107">
        <v>11.9</v>
      </c>
    </row>
    <row r="168" spans="1:22">
      <c r="A168" s="105" t="s">
        <v>317</v>
      </c>
      <c r="B168" s="59">
        <f>+B167+1</f>
        <v>160</v>
      </c>
      <c r="C168" s="102">
        <v>9.1</v>
      </c>
      <c r="D168" s="92" t="str">
        <f>+A168</f>
        <v>BILIRUBIN (URINE)</v>
      </c>
      <c r="E168" s="105"/>
      <c r="T168" s="105" t="s">
        <v>318</v>
      </c>
      <c r="U168" s="108" t="s">
        <v>319</v>
      </c>
      <c r="V168" s="107">
        <v>7.6</v>
      </c>
    </row>
    <row r="169" spans="1:22">
      <c r="A169" s="105" t="s">
        <v>320</v>
      </c>
      <c r="B169" s="59">
        <f>+B168+1</f>
        <v>161</v>
      </c>
      <c r="C169" s="102">
        <v>19.7</v>
      </c>
      <c r="D169" s="92" t="str">
        <f>+A169</f>
        <v>BUPRENORPHINE</v>
      </c>
      <c r="E169" s="105"/>
      <c r="T169" s="105" t="s">
        <v>321</v>
      </c>
      <c r="U169" s="108" t="s">
        <v>322</v>
      </c>
      <c r="V169" s="107">
        <v>5.9</v>
      </c>
    </row>
    <row r="170" spans="1:22">
      <c r="A170" s="105" t="s">
        <v>323</v>
      </c>
      <c r="B170" s="59">
        <f>+B169+1</f>
        <v>162</v>
      </c>
      <c r="C170" s="102">
        <v>11.7</v>
      </c>
      <c r="D170" s="92" t="str">
        <f>+A170</f>
        <v>C-PEPTIDE</v>
      </c>
      <c r="E170" s="105"/>
      <c r="T170" s="105"/>
      <c r="U170" s="108"/>
      <c r="V170" s="107"/>
    </row>
    <row r="171" spans="1:22">
      <c r="A171" s="105" t="s">
        <v>324</v>
      </c>
      <c r="B171" s="59">
        <f>+B170+1</f>
        <v>163</v>
      </c>
      <c r="C171" s="102">
        <v>13.6</v>
      </c>
      <c r="D171" s="92" t="str">
        <f>+A171</f>
        <v>CA 125</v>
      </c>
      <c r="E171" s="105"/>
      <c r="T171" s="105"/>
      <c r="U171" s="108"/>
      <c r="V171" s="107"/>
    </row>
    <row r="172" spans="1:22">
      <c r="A172" s="105" t="s">
        <v>325</v>
      </c>
      <c r="B172" s="59">
        <f>+B171+1</f>
        <v>164</v>
      </c>
      <c r="C172" s="102">
        <v>16.3</v>
      </c>
      <c r="D172" s="92" t="str">
        <f>+A172</f>
        <v>CA15-3</v>
      </c>
      <c r="E172" s="105"/>
      <c r="T172" s="105" t="s">
        <v>326</v>
      </c>
      <c r="U172" s="108" t="s">
        <v>327</v>
      </c>
      <c r="V172" s="107">
        <v>4.5</v>
      </c>
    </row>
    <row r="173" spans="1:22">
      <c r="A173" s="105" t="s">
        <v>328</v>
      </c>
      <c r="B173" s="59">
        <f>+B172+1</f>
        <v>165</v>
      </c>
      <c r="C173" s="102">
        <v>16.3</v>
      </c>
      <c r="D173" s="92" t="str">
        <f>+A173</f>
        <v>CA19-9</v>
      </c>
      <c r="E173" s="105"/>
      <c r="T173" s="105" t="s">
        <v>329</v>
      </c>
      <c r="U173" s="108" t="s">
        <v>330</v>
      </c>
      <c r="V173" s="107">
        <v>6.7</v>
      </c>
    </row>
    <row r="174" spans="1:22">
      <c r="A174" s="105" t="s">
        <v>331</v>
      </c>
      <c r="B174" s="59">
        <f>+B173+1</f>
        <v>166</v>
      </c>
      <c r="C174" s="102">
        <v>9.1</v>
      </c>
      <c r="D174" s="92" t="str">
        <f>+A174</f>
        <v>CAERULOPLASMIN</v>
      </c>
      <c r="E174" s="105"/>
      <c r="T174" s="105" t="s">
        <v>332</v>
      </c>
      <c r="U174" s="108" t="s">
        <v>333</v>
      </c>
      <c r="V174" s="107">
        <v>4.4</v>
      </c>
    </row>
    <row r="175" spans="1:22">
      <c r="A175" s="105" t="s">
        <v>334</v>
      </c>
      <c r="B175" s="59">
        <f>+B174+1</f>
        <v>167</v>
      </c>
      <c r="C175" s="102">
        <v>33.2</v>
      </c>
      <c r="D175" s="92" t="str">
        <f>+A175</f>
        <v>CALCITONIN</v>
      </c>
      <c r="E175" s="105"/>
      <c r="T175" s="105" t="s">
        <v>335</v>
      </c>
      <c r="U175" s="108" t="s">
        <v>336</v>
      </c>
      <c r="V175" s="107">
        <v>6.7</v>
      </c>
    </row>
    <row r="176" spans="1:22">
      <c r="A176" s="105" t="s">
        <v>337</v>
      </c>
      <c r="B176" s="59">
        <f>+B175+1</f>
        <v>168</v>
      </c>
      <c r="C176" s="102">
        <v>8.3</v>
      </c>
      <c r="D176" s="92" t="str">
        <f>+A176</f>
        <v>CALCIUM (URINE)</v>
      </c>
      <c r="E176" s="105"/>
      <c r="T176" s="105" t="s">
        <v>338</v>
      </c>
      <c r="U176" s="108" t="s">
        <v>339</v>
      </c>
      <c r="V176" s="107">
        <v>6.7</v>
      </c>
    </row>
    <row r="177" spans="1:22">
      <c r="A177" s="105" t="s">
        <v>340</v>
      </c>
      <c r="B177" s="59">
        <f>+B176+1</f>
        <v>169</v>
      </c>
      <c r="C177" s="102">
        <v>10.4</v>
      </c>
      <c r="D177" s="92" t="str">
        <f>+A177</f>
        <v>CARBOXYHAEMOGLOBIN</v>
      </c>
      <c r="E177" s="105"/>
      <c r="T177" s="105" t="s">
        <v>341</v>
      </c>
      <c r="U177" s="108" t="s">
        <v>342</v>
      </c>
      <c r="V177" s="107">
        <v>9.7</v>
      </c>
    </row>
    <row r="178" spans="1:22">
      <c r="A178" s="105" t="s">
        <v>343</v>
      </c>
      <c r="B178" s="59">
        <f>+B177+1</f>
        <v>170</v>
      </c>
      <c r="C178" s="102">
        <v>13</v>
      </c>
      <c r="D178" s="92" t="str">
        <f>+A178</f>
        <v>CEA</v>
      </c>
      <c r="E178" s="105"/>
      <c r="T178" s="105" t="s">
        <v>344</v>
      </c>
      <c r="U178" s="108" t="s">
        <v>345</v>
      </c>
      <c r="V178" s="107">
        <v>9.7</v>
      </c>
    </row>
    <row r="179" spans="1:22">
      <c r="A179" s="105" t="s">
        <v>346</v>
      </c>
      <c r="B179" s="59">
        <f>+B178+1</f>
        <v>171</v>
      </c>
      <c r="C179" s="102">
        <v>22.1</v>
      </c>
      <c r="D179" s="92" t="str">
        <f>+A179</f>
        <v>CHOLINESTERASE - PHENOTYPE</v>
      </c>
      <c r="E179" s="105"/>
      <c r="T179" s="105" t="s">
        <v>347</v>
      </c>
      <c r="U179" s="108" t="s">
        <v>348</v>
      </c>
      <c r="V179" s="107">
        <v>3.4</v>
      </c>
    </row>
    <row r="180" spans="1:22">
      <c r="A180" s="105" t="s">
        <v>349</v>
      </c>
      <c r="B180" s="59">
        <f>+B179+1</f>
        <v>172</v>
      </c>
      <c r="C180" s="102">
        <v>13.3</v>
      </c>
      <c r="D180" s="92" t="str">
        <f>+A180</f>
        <v>CHOLINESTERASE SCREEN</v>
      </c>
      <c r="E180" s="105"/>
      <c r="T180" s="105" t="s">
        <v>350</v>
      </c>
      <c r="U180" s="108" t="s">
        <v>351</v>
      </c>
      <c r="V180" s="107">
        <v>8.7</v>
      </c>
    </row>
    <row r="181" spans="1:22">
      <c r="A181" s="105" t="s">
        <v>352</v>
      </c>
      <c r="B181" s="59">
        <f>+B180+1</f>
        <v>173</v>
      </c>
      <c r="C181" s="102">
        <v>28.5</v>
      </c>
      <c r="D181" s="92" t="str">
        <f>+A181</f>
        <v>CHOLINESTERASE RED CELL</v>
      </c>
      <c r="E181" s="105"/>
      <c r="T181" s="105" t="s">
        <v>353</v>
      </c>
      <c r="U181" s="108" t="s">
        <v>354</v>
      </c>
      <c r="V181" s="107">
        <v>6.7</v>
      </c>
    </row>
    <row r="182" spans="1:22">
      <c r="A182" s="105" t="s">
        <v>355</v>
      </c>
      <c r="B182" s="59">
        <f>+B181+1</f>
        <v>174</v>
      </c>
      <c r="C182" s="102">
        <v>15</v>
      </c>
      <c r="D182" s="92" t="str">
        <f>+A182</f>
        <v>CITRATE (URINE)</v>
      </c>
      <c r="E182" s="105"/>
      <c r="T182" s="105" t="s">
        <v>356</v>
      </c>
      <c r="U182" s="108" t="s">
        <v>356</v>
      </c>
      <c r="V182" s="107">
        <v>9.7</v>
      </c>
    </row>
    <row r="183" spans="1:22">
      <c r="A183" s="105" t="s">
        <v>357</v>
      </c>
      <c r="B183" s="59">
        <f>+B182+1</f>
        <v>175</v>
      </c>
      <c r="C183" s="102">
        <v>11.7</v>
      </c>
      <c r="D183" s="92" t="str">
        <f>+A183</f>
        <v>CK-MB</v>
      </c>
      <c r="E183" s="105"/>
      <c r="T183" s="105" t="s">
        <v>358</v>
      </c>
      <c r="U183" s="108" t="s">
        <v>359</v>
      </c>
      <c r="V183" s="107">
        <v>5.7</v>
      </c>
    </row>
    <row r="184" spans="1:22">
      <c r="A184" s="105" t="s">
        <v>360</v>
      </c>
      <c r="B184" s="59">
        <f>+B183+1</f>
        <v>176</v>
      </c>
      <c r="C184" s="102">
        <v>14.6</v>
      </c>
      <c r="D184" s="92" t="str">
        <f>+A184</f>
        <v>CORTISOL (BLOOD SPOT)</v>
      </c>
      <c r="E184" s="105"/>
      <c r="T184" s="105" t="s">
        <v>361</v>
      </c>
      <c r="U184" s="108" t="s">
        <v>362</v>
      </c>
      <c r="V184" s="107">
        <v>9.7</v>
      </c>
    </row>
    <row r="185" spans="1:22">
      <c r="A185" s="105" t="s">
        <v>363</v>
      </c>
      <c r="B185" s="59">
        <f>+B184+1</f>
        <v>177</v>
      </c>
      <c r="C185" s="102">
        <v>11.7</v>
      </c>
      <c r="D185" s="92" t="str">
        <f>+A185</f>
        <v>CORTISOL (PLASMA)</v>
      </c>
      <c r="E185" s="105"/>
      <c r="T185" s="105" t="s">
        <v>364</v>
      </c>
      <c r="U185" s="108" t="s">
        <v>365</v>
      </c>
      <c r="V185" s="107">
        <v>8.5</v>
      </c>
    </row>
    <row r="186" spans="1:22">
      <c r="A186" s="105" t="s">
        <v>366</v>
      </c>
      <c r="B186" s="59">
        <f>+B185+1</f>
        <v>178</v>
      </c>
      <c r="C186" s="102">
        <v>11.7</v>
      </c>
      <c r="D186" s="92" t="str">
        <f>+A186</f>
        <v>CORTISOL (SALIVA)</v>
      </c>
      <c r="E186" s="105"/>
      <c r="T186" s="105" t="s">
        <v>367</v>
      </c>
      <c r="U186" s="108" t="s">
        <v>368</v>
      </c>
      <c r="V186" s="107">
        <v>3.4</v>
      </c>
    </row>
    <row r="187" spans="1:22">
      <c r="A187" s="105" t="s">
        <v>369</v>
      </c>
      <c r="B187" s="59">
        <f>+B186+1</f>
        <v>179</v>
      </c>
      <c r="C187" s="102">
        <v>11.7</v>
      </c>
      <c r="D187" s="92" t="str">
        <f>+A187</f>
        <v>CORTISOL (URINE)</v>
      </c>
      <c r="E187" s="105"/>
      <c r="T187" s="105" t="s">
        <v>370</v>
      </c>
      <c r="U187" s="108" t="s">
        <v>371</v>
      </c>
      <c r="V187" s="107">
        <v>10.2</v>
      </c>
    </row>
    <row r="188" spans="1:22">
      <c r="A188" s="105" t="s">
        <v>369</v>
      </c>
      <c r="B188" s="59">
        <f>+B187+1</f>
        <v>180</v>
      </c>
      <c r="C188" s="102">
        <v>11.7</v>
      </c>
      <c r="D188" s="92" t="str">
        <f>+A188</f>
        <v>CORTISOL (URINE)</v>
      </c>
      <c r="E188" s="105"/>
      <c r="T188" s="105" t="s">
        <v>372</v>
      </c>
      <c r="U188" s="108" t="s">
        <v>373</v>
      </c>
      <c r="V188" s="107">
        <v>5</v>
      </c>
    </row>
    <row r="189" spans="1:22">
      <c r="A189" s="105" t="s">
        <v>374</v>
      </c>
      <c r="B189" s="59">
        <f>+B188+1</f>
        <v>181</v>
      </c>
      <c r="C189" s="102">
        <v>24.1</v>
      </c>
      <c r="D189" s="92" t="str">
        <f>+A189</f>
        <v>CORTISONE (PLASMA)</v>
      </c>
      <c r="E189" s="105"/>
      <c r="T189" s="105" t="s">
        <v>375</v>
      </c>
      <c r="U189" s="108" t="s">
        <v>376</v>
      </c>
      <c r="V189" s="107">
        <v>5</v>
      </c>
    </row>
    <row r="190" spans="1:22">
      <c r="A190" s="105" t="s">
        <v>377</v>
      </c>
      <c r="B190" s="59">
        <f>+B189+1</f>
        <v>182</v>
      </c>
      <c r="C190" s="102">
        <v>24.1</v>
      </c>
      <c r="D190" s="92" t="str">
        <f>+A190</f>
        <v>CORTISONE (URINE)</v>
      </c>
      <c r="E190" s="105"/>
      <c r="T190" s="105" t="s">
        <v>378</v>
      </c>
      <c r="U190" s="108" t="s">
        <v>379</v>
      </c>
      <c r="V190" s="107">
        <v>9.7</v>
      </c>
    </row>
    <row r="191" spans="1:22">
      <c r="A191" s="105" t="s">
        <v>380</v>
      </c>
      <c r="B191" s="59">
        <f>+B190+1</f>
        <v>183</v>
      </c>
      <c r="C191" s="102">
        <v>24.1</v>
      </c>
      <c r="D191" s="92" t="str">
        <f>+A191</f>
        <v>COTININE (URINE)</v>
      </c>
      <c r="E191" s="105"/>
      <c r="T191" s="105" t="s">
        <v>381</v>
      </c>
      <c r="U191" s="108" t="s">
        <v>382</v>
      </c>
      <c r="V191" s="107">
        <v>9.2</v>
      </c>
    </row>
    <row r="192" spans="1:22">
      <c r="A192" s="105" t="s">
        <v>383</v>
      </c>
      <c r="B192" s="59">
        <f>+B191+1</f>
        <v>184</v>
      </c>
      <c r="C192" s="102">
        <v>24.1</v>
      </c>
      <c r="D192" s="92" t="str">
        <f>+A192</f>
        <v>COTININE (PLASMA)</v>
      </c>
      <c r="E192" s="105"/>
      <c r="T192" s="105" t="s">
        <v>384</v>
      </c>
      <c r="U192" s="111" t="s">
        <v>385</v>
      </c>
      <c r="V192" s="107">
        <v>16.6</v>
      </c>
    </row>
    <row r="193" spans="1:22">
      <c r="A193" s="105" t="s">
        <v>386</v>
      </c>
      <c r="B193" s="59">
        <f>+B192+1</f>
        <v>185</v>
      </c>
      <c r="C193" s="102">
        <v>3.4</v>
      </c>
      <c r="D193" s="92" t="str">
        <f>+A193</f>
        <v>CREATININE CLEARANCE</v>
      </c>
      <c r="E193" s="105"/>
      <c r="T193" s="105" t="s">
        <v>244</v>
      </c>
      <c r="U193" s="111" t="s">
        <v>387</v>
      </c>
      <c r="V193" s="107">
        <v>16.6</v>
      </c>
    </row>
    <row r="194" spans="1:22">
      <c r="A194" s="105" t="s">
        <v>388</v>
      </c>
      <c r="B194" s="59">
        <f>+B193+1</f>
        <v>186</v>
      </c>
      <c r="C194" s="102">
        <v>3.4</v>
      </c>
      <c r="D194" s="92" t="str">
        <f>+A194</f>
        <v>CREATININE URINE</v>
      </c>
      <c r="E194" s="105"/>
      <c r="T194" s="105" t="s">
        <v>247</v>
      </c>
      <c r="U194" s="108" t="s">
        <v>389</v>
      </c>
      <c r="V194" s="107">
        <v>12.3</v>
      </c>
    </row>
    <row r="195" spans="1:22">
      <c r="A195" s="105" t="s">
        <v>390</v>
      </c>
      <c r="B195" s="59">
        <f>+B194+1</f>
        <v>187</v>
      </c>
      <c r="C195" s="102">
        <v>3.4</v>
      </c>
      <c r="D195" s="92" t="str">
        <f>+A195</f>
        <v>CREATININE FLUID</v>
      </c>
      <c r="E195" s="105"/>
      <c r="T195" s="105" t="s">
        <v>250</v>
      </c>
      <c r="U195" s="108" t="s">
        <v>391</v>
      </c>
      <c r="V195" s="107">
        <v>12.3</v>
      </c>
    </row>
    <row r="196" spans="1:22">
      <c r="A196" s="105" t="s">
        <v>392</v>
      </c>
      <c r="B196" s="59">
        <f>+B195+1</f>
        <v>188</v>
      </c>
      <c r="C196" s="102">
        <v>17.9</v>
      </c>
      <c r="D196" s="92" t="str">
        <f>+A196</f>
        <v>CICLOSPORIN</v>
      </c>
      <c r="E196" s="105"/>
      <c r="T196" s="105" t="s">
        <v>253</v>
      </c>
      <c r="U196" s="108" t="s">
        <v>393</v>
      </c>
      <c r="V196" s="107">
        <v>12.3</v>
      </c>
    </row>
    <row r="197" spans="1:22">
      <c r="A197" s="105" t="s">
        <v>394</v>
      </c>
      <c r="B197" s="59">
        <f>+B196+1</f>
        <v>189</v>
      </c>
      <c r="C197" s="102">
        <v>32.2</v>
      </c>
      <c r="D197" s="92" t="str">
        <f>+A197</f>
        <v>CYSTINE</v>
      </c>
      <c r="E197" s="105"/>
      <c r="T197" s="105" t="s">
        <v>256</v>
      </c>
      <c r="U197" s="108" t="s">
        <v>395</v>
      </c>
      <c r="V197" s="107">
        <v>25.8</v>
      </c>
    </row>
    <row r="198" spans="1:22">
      <c r="A198" s="105" t="s">
        <v>396</v>
      </c>
      <c r="B198" s="59">
        <f>+B197+1</f>
        <v>190</v>
      </c>
      <c r="C198" s="102">
        <v>30.3</v>
      </c>
      <c r="D198" s="92" t="str">
        <f>+A198</f>
        <v>DEOXYPYRIDINOLINE (DPD) </v>
      </c>
      <c r="E198" s="105"/>
      <c r="T198" s="105" t="s">
        <v>259</v>
      </c>
      <c r="U198" s="108" t="s">
        <v>397</v>
      </c>
      <c r="V198" s="107">
        <v>28.5</v>
      </c>
    </row>
    <row r="199" spans="1:22" ht="16" thickBot="1">
      <c r="A199" s="105" t="s">
        <v>396</v>
      </c>
      <c r="B199" s="59">
        <f>+B198+1</f>
        <v>191</v>
      </c>
      <c r="C199" s="102">
        <v>30.3</v>
      </c>
      <c r="D199" s="92" t="str">
        <f>+A199</f>
        <v>DEOXYPYRIDINOLINE (DPD) </v>
      </c>
      <c r="E199" s="105"/>
      <c r="F199" s="112"/>
      <c r="G199" s="84"/>
      <c r="T199" s="105" t="s">
        <v>262</v>
      </c>
      <c r="U199" s="113" t="s">
        <v>398</v>
      </c>
      <c r="V199" s="107">
        <v>28.5</v>
      </c>
    </row>
    <row r="200" spans="1:22">
      <c r="A200" s="105" t="s">
        <v>399</v>
      </c>
      <c r="B200" s="59">
        <f>+B199+1</f>
        <v>192</v>
      </c>
      <c r="C200" s="102">
        <v>11.7</v>
      </c>
      <c r="D200" s="92" t="str">
        <f>+A200</f>
        <v>DHEA-SULPHATE</v>
      </c>
      <c r="E200" s="105"/>
      <c r="T200" s="105" t="s">
        <v>265</v>
      </c>
      <c r="U200" s="108" t="s">
        <v>400</v>
      </c>
      <c r="V200" s="107">
        <v>6.7</v>
      </c>
    </row>
    <row r="201" spans="1:22">
      <c r="A201" s="105" t="s">
        <v>401</v>
      </c>
      <c r="B201" s="59">
        <f>+B200+1</f>
        <v>193</v>
      </c>
      <c r="C201" s="102">
        <v>46.3</v>
      </c>
      <c r="D201" s="92" t="str">
        <f>+A201</f>
        <v>DRUG SCREEN</v>
      </c>
      <c r="E201" s="105"/>
      <c r="T201" s="105" t="s">
        <v>267</v>
      </c>
      <c r="U201" s="108" t="s">
        <v>402</v>
      </c>
      <c r="V201" s="107">
        <v>13.3</v>
      </c>
    </row>
    <row r="202" spans="1:22">
      <c r="A202" s="105" t="s">
        <v>403</v>
      </c>
      <c r="B202" s="59">
        <f>+B201+1</f>
        <v>194</v>
      </c>
      <c r="C202" s="102">
        <v>11.7</v>
      </c>
      <c r="D202" s="92" t="str">
        <f>+A202</f>
        <v>ETHANOL</v>
      </c>
      <c r="E202" s="105"/>
      <c r="T202" s="105" t="s">
        <v>270</v>
      </c>
      <c r="U202" s="111" t="s">
        <v>404</v>
      </c>
      <c r="V202" s="107">
        <v>11.9</v>
      </c>
    </row>
    <row r="203" spans="1:22">
      <c r="A203" s="105" t="s">
        <v>405</v>
      </c>
      <c r="B203" s="59">
        <f>+B202+1</f>
        <v>195</v>
      </c>
      <c r="C203" s="102">
        <v>36.8</v>
      </c>
      <c r="D203" s="92" t="str">
        <f>+A203</f>
        <v>FAECAL ELASTASE</v>
      </c>
      <c r="E203" s="105"/>
      <c r="T203" s="105" t="s">
        <v>273</v>
      </c>
      <c r="U203" s="108" t="s">
        <v>406</v>
      </c>
      <c r="V203" s="107">
        <v>8.5</v>
      </c>
    </row>
    <row r="204" spans="1:22">
      <c r="A204" s="105" t="s">
        <v>407</v>
      </c>
      <c r="B204" s="59">
        <f>+B203+1</f>
        <v>196</v>
      </c>
      <c r="C204" s="102">
        <v>65.2</v>
      </c>
      <c r="D204" s="92" t="str">
        <f>+A204</f>
        <v>FAECAL FAT</v>
      </c>
      <c r="E204" s="105"/>
      <c r="T204" s="105" t="s">
        <v>276</v>
      </c>
      <c r="U204" s="111" t="s">
        <v>408</v>
      </c>
      <c r="V204" s="107">
        <v>24.1</v>
      </c>
    </row>
    <row r="205" spans="1:22">
      <c r="A205" s="105" t="s">
        <v>409</v>
      </c>
      <c r="B205" s="59">
        <f>+B204+1</f>
        <v>197</v>
      </c>
      <c r="C205" s="102">
        <v>32.3</v>
      </c>
      <c r="D205" s="92" t="str">
        <f>+A205</f>
        <v>FAECAL REDUCING SUBSTANCES</v>
      </c>
      <c r="E205" s="105"/>
      <c r="T205" s="105" t="s">
        <v>279</v>
      </c>
      <c r="U205" s="108" t="s">
        <v>410</v>
      </c>
      <c r="V205" s="107">
        <v>14.7</v>
      </c>
    </row>
    <row r="206" spans="1:22">
      <c r="A206" s="105" t="s">
        <v>411</v>
      </c>
      <c r="B206" s="59">
        <f>+B205+1</f>
        <v>198</v>
      </c>
      <c r="C206" s="102">
        <v>5</v>
      </c>
      <c r="D206" s="92" t="str">
        <f>+A206</f>
        <v>REDUCING SUBSTANCES (URINE)</v>
      </c>
      <c r="E206" s="105"/>
      <c r="T206" s="105" t="s">
        <v>285</v>
      </c>
      <c r="U206" s="108" t="s">
        <v>412</v>
      </c>
      <c r="V206" s="107">
        <v>7.7</v>
      </c>
    </row>
    <row r="207" spans="1:22">
      <c r="A207" s="105" t="s">
        <v>413</v>
      </c>
      <c r="B207" s="59">
        <f>+B206+1</f>
        <v>199</v>
      </c>
      <c r="C207" s="102">
        <v>13</v>
      </c>
      <c r="D207" s="92" t="str">
        <f>+A207</f>
        <v>FREE FATTY ACIDS (PLASMA)</v>
      </c>
      <c r="E207" s="105"/>
      <c r="T207" s="105" t="s">
        <v>287</v>
      </c>
      <c r="U207" s="108" t="s">
        <v>414</v>
      </c>
      <c r="V207" s="107">
        <v>27</v>
      </c>
    </row>
    <row r="208" spans="1:22">
      <c r="A208" s="105" t="s">
        <v>415</v>
      </c>
      <c r="B208" s="59">
        <f>+B207+1</f>
        <v>200</v>
      </c>
      <c r="C208" s="102">
        <v>11.7</v>
      </c>
      <c r="D208" s="92" t="str">
        <f>+A208</f>
        <v>GASES (BLOOD)</v>
      </c>
      <c r="E208" s="105"/>
      <c r="T208" s="105" t="s">
        <v>290</v>
      </c>
      <c r="U208" s="108" t="s">
        <v>416</v>
      </c>
      <c r="V208" s="107">
        <v>5</v>
      </c>
    </row>
    <row r="209" spans="1:22">
      <c r="A209" s="105" t="s">
        <v>417</v>
      </c>
      <c r="B209" s="59">
        <f>+B208+1</f>
        <v>201</v>
      </c>
      <c r="C209" s="102">
        <v>11.5</v>
      </c>
      <c r="D209" s="92" t="str">
        <f>+A209</f>
        <v>SAMPLE HANDLING CHARGE</v>
      </c>
      <c r="E209" s="105"/>
      <c r="T209" s="105" t="s">
        <v>293</v>
      </c>
      <c r="U209" s="108" t="s">
        <v>418</v>
      </c>
      <c r="V209" s="107">
        <v>32.2</v>
      </c>
    </row>
    <row r="210" spans="1:22" ht="13" thickBot="1">
      <c r="A210" s="105" t="s">
        <v>419</v>
      </c>
      <c r="B210" s="59">
        <f>+B209+1</f>
        <v>202</v>
      </c>
      <c r="C210" s="102">
        <v>6</v>
      </c>
      <c r="D210" s="92" t="str">
        <f>+A210</f>
        <v>GENTAMICIN</v>
      </c>
      <c r="E210" s="105"/>
      <c r="T210" s="105" t="s">
        <v>296</v>
      </c>
      <c r="U210" s="113" t="s">
        <v>420</v>
      </c>
      <c r="V210" s="107">
        <v>32.2</v>
      </c>
    </row>
    <row r="211" spans="1:22">
      <c r="A211" s="105" t="s">
        <v>421</v>
      </c>
      <c r="B211" s="59">
        <f>+B210+1</f>
        <v>203</v>
      </c>
      <c r="C211" s="102">
        <v>3.4</v>
      </c>
      <c r="D211" s="92" t="str">
        <f>+A211</f>
        <v>GLUCOSE(CSF)</v>
      </c>
      <c r="E211" s="105"/>
      <c r="T211" s="105" t="s">
        <v>299</v>
      </c>
      <c r="U211" s="108" t="s">
        <v>422</v>
      </c>
      <c r="V211" s="107">
        <v>19.3</v>
      </c>
    </row>
    <row r="212" spans="1:22">
      <c r="A212" s="105" t="s">
        <v>423</v>
      </c>
      <c r="B212" s="59">
        <f>+B211+1</f>
        <v>204</v>
      </c>
      <c r="C212" s="102">
        <v>3.4</v>
      </c>
      <c r="D212" s="92" t="str">
        <f>+A212</f>
        <v>GLUCOSE (FLUID)</v>
      </c>
      <c r="E212" s="105"/>
      <c r="T212" s="105" t="s">
        <v>302</v>
      </c>
      <c r="U212" s="109" t="s">
        <v>424</v>
      </c>
      <c r="V212" s="107">
        <v>5</v>
      </c>
    </row>
    <row r="213" spans="1:22">
      <c r="A213" s="105" t="s">
        <v>425</v>
      </c>
      <c r="B213" s="59">
        <f>+B212+1</f>
        <v>205</v>
      </c>
      <c r="C213" s="102">
        <v>32.2</v>
      </c>
      <c r="D213" s="92" t="str">
        <f>+A213</f>
        <v>GLYCINE(CSF)</v>
      </c>
      <c r="E213" s="105"/>
      <c r="T213" s="105" t="s">
        <v>305</v>
      </c>
      <c r="U213" s="108" t="s">
        <v>426</v>
      </c>
      <c r="V213" s="107">
        <v>9.7</v>
      </c>
    </row>
    <row r="214" spans="1:22">
      <c r="A214" s="105" t="s">
        <v>427</v>
      </c>
      <c r="B214" s="59">
        <f>+B213+1</f>
        <v>206</v>
      </c>
      <c r="C214" s="102">
        <v>7.7</v>
      </c>
      <c r="D214" s="92" t="str">
        <f>+A214</f>
        <v>GROWTH HORMONE (SERUM)</v>
      </c>
      <c r="E214" s="105"/>
      <c r="T214" s="105" t="s">
        <v>308</v>
      </c>
      <c r="U214" s="108" t="s">
        <v>428</v>
      </c>
      <c r="V214" s="107">
        <v>9.7</v>
      </c>
    </row>
    <row r="215" spans="1:22">
      <c r="A215" s="105" t="s">
        <v>427</v>
      </c>
      <c r="B215" s="59">
        <f>+B214+1</f>
        <v>207</v>
      </c>
      <c r="C215" s="102">
        <v>7.7</v>
      </c>
      <c r="D215" s="92" t="str">
        <f>+A215</f>
        <v>GROWTH HORMONE (SERUM)</v>
      </c>
      <c r="E215" s="105"/>
      <c r="T215" s="105" t="s">
        <v>311</v>
      </c>
      <c r="U215" s="111" t="s">
        <v>429</v>
      </c>
      <c r="V215" s="107">
        <v>13.1</v>
      </c>
    </row>
    <row r="216" spans="1:22">
      <c r="A216" s="105" t="s">
        <v>430</v>
      </c>
      <c r="B216" s="59">
        <f>+B215+1</f>
        <v>208</v>
      </c>
      <c r="C216" s="102">
        <v>24.1</v>
      </c>
      <c r="D216" s="92" t="str">
        <f>+A216</f>
        <v>GUT PERMEABILITY</v>
      </c>
      <c r="E216" s="105"/>
      <c r="T216" s="105" t="s">
        <v>314</v>
      </c>
      <c r="U216" s="108" t="s">
        <v>431</v>
      </c>
      <c r="V216" s="107">
        <v>8.2</v>
      </c>
    </row>
    <row r="217" spans="1:22">
      <c r="A217" s="110" t="s">
        <v>432</v>
      </c>
      <c r="B217" s="59">
        <f>+B216+1</f>
        <v>209</v>
      </c>
      <c r="C217" s="102">
        <v>47.2</v>
      </c>
      <c r="D217" s="92" t="str">
        <f>+A217</f>
        <v>HAEM PIGMENTS (CSF)</v>
      </c>
      <c r="E217" s="110"/>
      <c r="T217" s="110" t="s">
        <v>317</v>
      </c>
      <c r="U217" s="108" t="s">
        <v>433</v>
      </c>
      <c r="V217" s="107">
        <v>9.1</v>
      </c>
    </row>
    <row r="218" spans="1:22">
      <c r="A218" s="110" t="s">
        <v>434</v>
      </c>
      <c r="B218" s="59">
        <f>+B217+1</f>
        <v>210</v>
      </c>
      <c r="C218" s="102">
        <v>6</v>
      </c>
      <c r="D218" s="92" t="str">
        <f>+A218</f>
        <v>HBA1c</v>
      </c>
      <c r="E218" s="110"/>
      <c r="T218" s="110" t="s">
        <v>320</v>
      </c>
      <c r="U218" s="108" t="s">
        <v>435</v>
      </c>
      <c r="V218" s="107">
        <v>19.7</v>
      </c>
    </row>
    <row r="219" spans="1:22">
      <c r="A219" s="105" t="s">
        <v>436</v>
      </c>
      <c r="B219" s="59">
        <f>+B218+1</f>
        <v>211</v>
      </c>
      <c r="C219" s="102">
        <v>11.9</v>
      </c>
      <c r="D219" s="92" t="str">
        <f>+A219</f>
        <v>HCG (CSF)</v>
      </c>
      <c r="E219" s="105"/>
      <c r="T219" s="105" t="s">
        <v>323</v>
      </c>
      <c r="U219" s="108" t="s">
        <v>437</v>
      </c>
      <c r="V219" s="107">
        <v>11.7</v>
      </c>
    </row>
    <row r="220" spans="1:22">
      <c r="A220" s="105" t="s">
        <v>438</v>
      </c>
      <c r="B220" s="59">
        <f>+B219+1</f>
        <v>212</v>
      </c>
      <c r="C220" s="102">
        <v>32.3</v>
      </c>
      <c r="D220" s="92" t="str">
        <f>+A220</f>
        <v>HOMOCYSTINE</v>
      </c>
      <c r="E220" s="105"/>
      <c r="T220" s="105" t="s">
        <v>324</v>
      </c>
      <c r="U220" s="108" t="s">
        <v>439</v>
      </c>
      <c r="V220" s="107">
        <v>13.6</v>
      </c>
    </row>
    <row r="221" spans="1:22" ht="13" thickBot="1">
      <c r="A221" s="105" t="s">
        <v>440</v>
      </c>
      <c r="B221" s="59">
        <f>+B220+1</f>
        <v>213</v>
      </c>
      <c r="C221" s="102">
        <v>30.7</v>
      </c>
      <c r="D221" s="92" t="str">
        <f>+A221</f>
        <v>HYALURONIC ACID</v>
      </c>
      <c r="E221" s="105"/>
      <c r="T221" s="105" t="s">
        <v>325</v>
      </c>
      <c r="U221" s="114" t="s">
        <v>441</v>
      </c>
      <c r="V221" s="107">
        <v>16.3</v>
      </c>
    </row>
    <row r="222" spans="1:22">
      <c r="A222" s="105" t="s">
        <v>442</v>
      </c>
      <c r="B222" s="59">
        <f>+B221+1</f>
        <v>214</v>
      </c>
      <c r="C222" s="102">
        <v>55.39</v>
      </c>
      <c r="D222" s="92" t="str">
        <f>+A222</f>
        <v>HYDROXYBUTYRATE</v>
      </c>
      <c r="E222" s="105"/>
      <c r="T222" s="105" t="s">
        <v>328</v>
      </c>
      <c r="U222" s="108" t="s">
        <v>443</v>
      </c>
      <c r="V222" s="107">
        <v>16.3</v>
      </c>
    </row>
    <row r="223" spans="1:22">
      <c r="A223" s="105" t="s">
        <v>444</v>
      </c>
      <c r="B223" s="59">
        <f>+B222+1</f>
        <v>215</v>
      </c>
      <c r="C223" s="102">
        <v>32.3</v>
      </c>
      <c r="D223" s="92" t="str">
        <f>+A223</f>
        <v>HYDROXYPROLINE</v>
      </c>
      <c r="E223" s="105"/>
      <c r="T223" s="105" t="s">
        <v>331</v>
      </c>
      <c r="U223" s="111" t="s">
        <v>445</v>
      </c>
      <c r="V223" s="107">
        <v>9.1</v>
      </c>
    </row>
    <row r="224" spans="1:22" ht="13" thickBot="1">
      <c r="A224" s="105" t="s">
        <v>446</v>
      </c>
      <c r="B224" s="59">
        <f>+B223+1</f>
        <v>216</v>
      </c>
      <c r="C224" s="102">
        <v>9</v>
      </c>
      <c r="D224" s="92" t="str">
        <f>+A224</f>
        <v>INSULIN</v>
      </c>
      <c r="E224" s="105"/>
      <c r="T224" s="105" t="s">
        <v>334</v>
      </c>
      <c r="U224" s="113" t="s">
        <v>447</v>
      </c>
      <c r="V224" s="107">
        <v>33.2</v>
      </c>
    </row>
    <row r="225" spans="1:22">
      <c r="A225" s="110" t="s">
        <v>448</v>
      </c>
      <c r="B225" s="59">
        <f>+B224+1</f>
        <v>217</v>
      </c>
      <c r="C225" s="102">
        <v>5.9</v>
      </c>
      <c r="D225" s="92" t="str">
        <f>+A225</f>
        <v>LACTATE (VENOUS PLASMA)</v>
      </c>
      <c r="E225" s="110"/>
      <c r="T225" s="110" t="s">
        <v>337</v>
      </c>
      <c r="U225" s="108" t="s">
        <v>449</v>
      </c>
      <c r="V225" s="107">
        <v>8.3</v>
      </c>
    </row>
    <row r="226" spans="1:22">
      <c r="A226" s="110" t="s">
        <v>450</v>
      </c>
      <c r="B226" s="59">
        <f>+B225+1</f>
        <v>218</v>
      </c>
      <c r="C226" s="102">
        <v>4.5</v>
      </c>
      <c r="D226" s="92" t="str">
        <f>+A226</f>
        <v>LDH (FLUID)</v>
      </c>
      <c r="E226" s="110"/>
      <c r="T226" s="110" t="s">
        <v>340</v>
      </c>
      <c r="U226" s="108" t="s">
        <v>451</v>
      </c>
      <c r="V226" s="107">
        <v>10.4</v>
      </c>
    </row>
    <row r="227" spans="1:22">
      <c r="A227" s="105" t="s">
        <v>283</v>
      </c>
      <c r="B227" s="59">
        <f>+B226+1</f>
        <v>219</v>
      </c>
      <c r="C227" s="102">
        <v>3.4</v>
      </c>
      <c r="D227" s="92" t="str">
        <f>+A227</f>
        <v>CHOLESTEROL</v>
      </c>
      <c r="E227" s="105"/>
      <c r="T227" s="105" t="s">
        <v>343</v>
      </c>
      <c r="U227" s="108" t="s">
        <v>452</v>
      </c>
      <c r="V227" s="107">
        <v>13</v>
      </c>
    </row>
    <row r="228" spans="1:22">
      <c r="A228" s="105" t="s">
        <v>318</v>
      </c>
      <c r="B228" s="59">
        <f>+B227+1</f>
        <v>220</v>
      </c>
      <c r="C228" s="102">
        <v>7.6</v>
      </c>
      <c r="D228" s="92" t="str">
        <f>+A228</f>
        <v>HDL CHOLESTEROL</v>
      </c>
      <c r="E228" s="105"/>
      <c r="T228" s="105" t="s">
        <v>346</v>
      </c>
      <c r="U228" s="108" t="s">
        <v>453</v>
      </c>
      <c r="V228" s="107">
        <v>22.1</v>
      </c>
    </row>
    <row r="229" spans="1:22">
      <c r="A229" s="105" t="s">
        <v>367</v>
      </c>
      <c r="B229" s="59">
        <f>+B228+1</f>
        <v>221</v>
      </c>
      <c r="C229" s="102">
        <v>3.4</v>
      </c>
      <c r="D229" s="92" t="str">
        <f>+A229</f>
        <v>TRIGLYCERIDES</v>
      </c>
      <c r="E229" s="105"/>
      <c r="T229" s="105" t="s">
        <v>349</v>
      </c>
      <c r="U229" s="108" t="s">
        <v>454</v>
      </c>
      <c r="V229" s="107">
        <v>13.3</v>
      </c>
    </row>
    <row r="230" spans="1:22">
      <c r="A230" s="105" t="s">
        <v>455</v>
      </c>
      <c r="B230" s="59">
        <f>+B229+1</f>
        <v>222</v>
      </c>
      <c r="C230" s="102">
        <v>11.7</v>
      </c>
      <c r="D230" s="92" t="str">
        <f>+A230</f>
        <v>APO- LIPOPROTEIN A-1</v>
      </c>
      <c r="E230" s="105"/>
      <c r="T230" s="105" t="s">
        <v>352</v>
      </c>
      <c r="U230" s="108" t="s">
        <v>456</v>
      </c>
      <c r="V230" s="107">
        <v>28.5</v>
      </c>
    </row>
    <row r="231" spans="1:22">
      <c r="A231" s="105" t="s">
        <v>457</v>
      </c>
      <c r="B231" s="59">
        <f>+B230+1</f>
        <v>223</v>
      </c>
      <c r="C231" s="102">
        <v>11.7</v>
      </c>
      <c r="D231" s="92" t="str">
        <f>+A231</f>
        <v>APO- LIPOPROTEIN B</v>
      </c>
      <c r="E231" s="105"/>
      <c r="T231" s="105" t="s">
        <v>355</v>
      </c>
      <c r="U231" s="108" t="s">
        <v>458</v>
      </c>
      <c r="V231" s="107">
        <v>21.5</v>
      </c>
    </row>
    <row r="232" spans="1:22">
      <c r="A232" s="105" t="s">
        <v>459</v>
      </c>
      <c r="B232" s="59">
        <f>+B231+1</f>
        <v>224</v>
      </c>
      <c r="C232" s="102">
        <v>11.7</v>
      </c>
      <c r="D232" s="92" t="str">
        <f>+A232</f>
        <v>LIPOPROTEIN (a)</v>
      </c>
      <c r="E232" s="105"/>
      <c r="T232" s="105" t="s">
        <v>460</v>
      </c>
      <c r="U232" s="108" t="s">
        <v>461</v>
      </c>
      <c r="V232" s="107">
        <v>34.3</v>
      </c>
    </row>
    <row r="233" spans="1:22">
      <c r="A233" s="105" t="s">
        <v>462</v>
      </c>
      <c r="B233" s="59">
        <f>+B232+1</f>
        <v>225</v>
      </c>
      <c r="C233" s="102">
        <v>6</v>
      </c>
      <c r="D233" s="92" t="str">
        <f>+A233</f>
        <v>LITHIUM</v>
      </c>
      <c r="E233" s="105"/>
      <c r="T233" s="105" t="s">
        <v>357</v>
      </c>
      <c r="U233" s="111" t="s">
        <v>463</v>
      </c>
      <c r="V233" s="107">
        <v>11.7</v>
      </c>
    </row>
    <row r="234" spans="1:22">
      <c r="A234" s="105" t="s">
        <v>464</v>
      </c>
      <c r="B234" s="59">
        <f>+B233+1</f>
        <v>226</v>
      </c>
      <c r="C234" s="102">
        <v>19.8</v>
      </c>
      <c r="D234" s="92" t="str">
        <f>+A234</f>
        <v>MAGNESIUM (RED CELL)</v>
      </c>
      <c r="E234" s="105"/>
      <c r="T234" s="105" t="s">
        <v>360</v>
      </c>
      <c r="U234" s="108" t="s">
        <v>465</v>
      </c>
      <c r="V234" s="107">
        <v>14.6</v>
      </c>
    </row>
    <row r="235" spans="1:22">
      <c r="A235" s="105" t="s">
        <v>466</v>
      </c>
      <c r="B235" s="59">
        <f>+B234+1</f>
        <v>227</v>
      </c>
      <c r="C235" s="102">
        <v>5</v>
      </c>
      <c r="D235" s="92" t="str">
        <f>+A235</f>
        <v>MAGNESIUM (URINE)</v>
      </c>
      <c r="E235" s="105"/>
      <c r="T235" s="105" t="s">
        <v>363</v>
      </c>
      <c r="U235" s="108" t="s">
        <v>467</v>
      </c>
      <c r="V235" s="107">
        <v>11.7</v>
      </c>
    </row>
    <row r="236" spans="1:22" ht="13" thickBot="1">
      <c r="A236" s="105" t="s">
        <v>468</v>
      </c>
      <c r="B236" s="59">
        <f>+B235+1</f>
        <v>228</v>
      </c>
      <c r="C236" s="102">
        <v>13</v>
      </c>
      <c r="D236" s="92" t="str">
        <f>+A236</f>
        <v>METHAEMALBUMIN</v>
      </c>
      <c r="E236" s="105"/>
      <c r="T236" s="105" t="s">
        <v>366</v>
      </c>
      <c r="U236" s="113" t="s">
        <v>469</v>
      </c>
      <c r="V236" s="107">
        <v>11.7</v>
      </c>
    </row>
    <row r="237" spans="1:22">
      <c r="A237" s="105" t="s">
        <v>470</v>
      </c>
      <c r="B237" s="59">
        <f>+B236+1</f>
        <v>229</v>
      </c>
      <c r="C237" s="102">
        <v>7.7</v>
      </c>
      <c r="D237" s="92" t="str">
        <f>+A237</f>
        <v>METHAEMOGLOBIN</v>
      </c>
      <c r="E237" s="105"/>
      <c r="T237" s="105" t="s">
        <v>369</v>
      </c>
      <c r="U237" s="108" t="s">
        <v>471</v>
      </c>
      <c r="V237" s="107">
        <v>11.7</v>
      </c>
    </row>
    <row r="238" spans="1:22">
      <c r="A238" s="105" t="s">
        <v>472</v>
      </c>
      <c r="B238" s="59">
        <f>+B237+1</f>
        <v>230</v>
      </c>
      <c r="C238" s="102">
        <v>17.9</v>
      </c>
      <c r="D238" s="92" t="str">
        <f>+A238</f>
        <v>METHOTREXATE</v>
      </c>
      <c r="E238" s="105"/>
      <c r="T238" s="105" t="s">
        <v>374</v>
      </c>
      <c r="U238" s="108" t="s">
        <v>473</v>
      </c>
      <c r="V238" s="107">
        <v>24.1</v>
      </c>
    </row>
    <row r="239" spans="1:22">
      <c r="A239" s="105" t="s">
        <v>474</v>
      </c>
      <c r="B239" s="59">
        <f>+B238+1</f>
        <v>231</v>
      </c>
      <c r="C239" s="102">
        <v>35.2</v>
      </c>
      <c r="D239" s="92" t="str">
        <f>+A239</f>
        <v>MICROSCOPY (FAECAL)</v>
      </c>
      <c r="E239" s="105"/>
      <c r="T239" s="105" t="s">
        <v>377</v>
      </c>
      <c r="U239" s="108" t="s">
        <v>473</v>
      </c>
      <c r="V239" s="107">
        <v>24.1</v>
      </c>
    </row>
    <row r="240" spans="1:22">
      <c r="A240" s="110" t="s">
        <v>475</v>
      </c>
      <c r="B240" s="59">
        <f>+B239+1</f>
        <v>232</v>
      </c>
      <c r="C240" s="102">
        <v>25.8</v>
      </c>
      <c r="D240" s="92" t="str">
        <f>+A240</f>
        <v>MUCOPOLYSACCHARIDE SCREEN</v>
      </c>
      <c r="E240" s="110"/>
      <c r="T240" s="110" t="s">
        <v>380</v>
      </c>
      <c r="U240" s="108" t="s">
        <v>476</v>
      </c>
      <c r="V240" s="107">
        <v>24.1</v>
      </c>
    </row>
    <row r="241" spans="1:22">
      <c r="A241" s="110" t="s">
        <v>477</v>
      </c>
      <c r="B241" s="59">
        <f>+B240+1</f>
        <v>233</v>
      </c>
      <c r="C241" s="102">
        <v>20.3</v>
      </c>
      <c r="D241" s="92" t="str">
        <f>+A241</f>
        <v>MYOGLOBIN (SERUM)</v>
      </c>
      <c r="E241" s="110"/>
      <c r="T241" s="110" t="s">
        <v>383</v>
      </c>
      <c r="U241" s="108" t="s">
        <v>478</v>
      </c>
      <c r="V241" s="107">
        <v>24.1</v>
      </c>
    </row>
    <row r="242" spans="1:22">
      <c r="A242" s="110" t="s">
        <v>479</v>
      </c>
      <c r="B242" s="59">
        <f>+B241+1</f>
        <v>234</v>
      </c>
      <c r="C242" s="102">
        <v>20.3</v>
      </c>
      <c r="D242" s="92" t="str">
        <f>+A242</f>
        <v>MYOGLOBIN (URINE)</v>
      </c>
      <c r="E242" s="110"/>
      <c r="T242" s="110" t="s">
        <v>386</v>
      </c>
      <c r="U242" s="108" t="s">
        <v>480</v>
      </c>
      <c r="V242" s="107">
        <v>3.4</v>
      </c>
    </row>
    <row r="243" spans="1:22">
      <c r="A243" s="105" t="s">
        <v>481</v>
      </c>
      <c r="B243" s="59">
        <f>+B242+1</f>
        <v>235</v>
      </c>
      <c r="C243" s="102">
        <v>29</v>
      </c>
      <c r="D243" s="92" t="str">
        <f>+A243</f>
        <v>NEUROBLASTOMA SCREEN</v>
      </c>
      <c r="E243" s="105"/>
      <c r="T243" s="105" t="s">
        <v>388</v>
      </c>
      <c r="U243" s="108" t="s">
        <v>482</v>
      </c>
      <c r="V243" s="107">
        <v>3.4</v>
      </c>
    </row>
    <row r="244" spans="1:22" ht="13" thickBot="1">
      <c r="A244" s="105" t="s">
        <v>483</v>
      </c>
      <c r="B244" s="59">
        <f>+B243+1</f>
        <v>236</v>
      </c>
      <c r="C244" s="102">
        <v>7.7</v>
      </c>
      <c r="D244" s="92" t="str">
        <f>+A244</f>
        <v>OCCULT BLOOD</v>
      </c>
      <c r="E244" s="105"/>
      <c r="T244" s="105" t="s">
        <v>390</v>
      </c>
      <c r="U244" s="113" t="s">
        <v>484</v>
      </c>
      <c r="V244" s="107">
        <v>3.4</v>
      </c>
    </row>
    <row r="245" spans="1:22">
      <c r="A245" s="105" t="s">
        <v>485</v>
      </c>
      <c r="B245" s="59">
        <f>+B244+1</f>
        <v>237</v>
      </c>
      <c r="C245" s="102">
        <v>35</v>
      </c>
      <c r="D245" s="92" t="str">
        <f>+A245</f>
        <v>OUT OF HOURS (EMERGENCY)</v>
      </c>
      <c r="E245" s="105"/>
      <c r="T245" s="105" t="s">
        <v>392</v>
      </c>
      <c r="U245" s="108" t="s">
        <v>486</v>
      </c>
      <c r="V245" s="107">
        <v>17.9</v>
      </c>
    </row>
    <row r="246" spans="1:22">
      <c r="A246" s="105" t="s">
        <v>487</v>
      </c>
      <c r="B246" s="59">
        <f>+B245+1</f>
        <v>238</v>
      </c>
      <c r="C246" s="102">
        <v>22.6</v>
      </c>
      <c r="D246" s="92" t="str">
        <f>+A246</f>
        <v>ORGANIC ACIDS (URINE)</v>
      </c>
      <c r="E246" s="105"/>
      <c r="T246" s="105" t="s">
        <v>394</v>
      </c>
      <c r="U246" s="108" t="s">
        <v>488</v>
      </c>
      <c r="V246" s="107">
        <v>32.2</v>
      </c>
    </row>
    <row r="247" spans="1:22">
      <c r="A247" s="105" t="s">
        <v>489</v>
      </c>
      <c r="B247" s="59">
        <f>+B246+1</f>
        <v>239</v>
      </c>
      <c r="C247" s="102">
        <v>54.6</v>
      </c>
      <c r="D247" s="92" t="str">
        <f>+A247</f>
        <v>AMINO ACIDS (URINE)/ORGANIC ACIDS (URINE)/ </v>
      </c>
      <c r="E247" s="105"/>
      <c r="T247" s="105" t="s">
        <v>396</v>
      </c>
      <c r="U247" s="108" t="s">
        <v>490</v>
      </c>
      <c r="V247" s="107">
        <v>30.3</v>
      </c>
    </row>
    <row r="248" spans="1:22">
      <c r="A248" s="105" t="s">
        <v>491</v>
      </c>
      <c r="B248" s="59">
        <f>+B247+1</f>
        <v>240</v>
      </c>
      <c r="C248" s="102">
        <v>24.1</v>
      </c>
      <c r="D248" s="92" t="str">
        <f>+A248</f>
        <v>OROTIC ACID</v>
      </c>
      <c r="E248" s="105"/>
      <c r="T248" s="105" t="s">
        <v>399</v>
      </c>
      <c r="U248" s="108" t="s">
        <v>492</v>
      </c>
      <c r="V248" s="107">
        <v>11.7</v>
      </c>
    </row>
    <row r="249" spans="1:22">
      <c r="A249" s="105" t="s">
        <v>493</v>
      </c>
      <c r="B249" s="59">
        <f>+B248+1</f>
        <v>241</v>
      </c>
      <c r="C249" s="102">
        <v>3.4</v>
      </c>
      <c r="D249" s="92" t="str">
        <f>+A249</f>
        <v>OSMOLALITY - URINE</v>
      </c>
      <c r="E249" s="105"/>
      <c r="T249" s="105" t="s">
        <v>401</v>
      </c>
      <c r="U249" s="108" t="s">
        <v>494</v>
      </c>
      <c r="V249" s="107">
        <v>46.3</v>
      </c>
    </row>
    <row r="250" spans="1:22">
      <c r="A250" s="105" t="s">
        <v>495</v>
      </c>
      <c r="B250" s="59">
        <f>+B249+1</f>
        <v>242</v>
      </c>
      <c r="C250" s="102">
        <v>3.4</v>
      </c>
      <c r="D250" s="92" t="str">
        <f>+A250</f>
        <v>OSMOLALITY - PLASMA</v>
      </c>
      <c r="E250" s="105"/>
      <c r="T250" s="105" t="s">
        <v>403</v>
      </c>
      <c r="U250" s="108" t="s">
        <v>496</v>
      </c>
      <c r="V250" s="107">
        <v>11.7</v>
      </c>
    </row>
    <row r="251" spans="1:22">
      <c r="A251" s="105" t="s">
        <v>497</v>
      </c>
      <c r="B251" s="59">
        <f>+B250+1</f>
        <v>243</v>
      </c>
      <c r="C251" s="102">
        <v>16.3</v>
      </c>
      <c r="D251" s="92" t="str">
        <f>+A251</f>
        <v>OXALATE (TIMED URINE)</v>
      </c>
      <c r="E251" s="105"/>
      <c r="T251" s="105" t="s">
        <v>405</v>
      </c>
      <c r="U251" s="108" t="s">
        <v>498</v>
      </c>
      <c r="V251" s="107">
        <v>37.9</v>
      </c>
    </row>
    <row r="252" spans="1:22">
      <c r="A252" s="105" t="s">
        <v>499</v>
      </c>
      <c r="B252" s="59">
        <f>+B251+1</f>
        <v>244</v>
      </c>
      <c r="C252" s="102">
        <v>7.7</v>
      </c>
      <c r="D252" s="92" t="str">
        <f>+A252</f>
        <v>PARAQUAT</v>
      </c>
      <c r="E252" s="105"/>
      <c r="T252" s="105" t="s">
        <v>407</v>
      </c>
      <c r="U252" s="111" t="s">
        <v>500</v>
      </c>
      <c r="V252" s="107">
        <v>65.2</v>
      </c>
    </row>
    <row r="253" spans="1:22">
      <c r="A253" s="105" t="s">
        <v>501</v>
      </c>
      <c r="B253" s="59">
        <f>+B252+1</f>
        <v>245</v>
      </c>
      <c r="C253" s="102">
        <v>16.3</v>
      </c>
      <c r="D253" s="92" t="str">
        <f>+A253</f>
        <v>OXALATE (RANDOM URINE)</v>
      </c>
      <c r="E253" s="105"/>
      <c r="T253" s="105" t="s">
        <v>409</v>
      </c>
      <c r="U253" s="111" t="s">
        <v>502</v>
      </c>
      <c r="V253" s="107">
        <v>32.3</v>
      </c>
    </row>
    <row r="254" spans="1:22">
      <c r="A254" s="110" t="s">
        <v>503</v>
      </c>
      <c r="B254" s="59">
        <f>+B253+1</f>
        <v>246</v>
      </c>
      <c r="C254" s="102">
        <v>24.1</v>
      </c>
      <c r="D254" s="92" t="str">
        <f>+A254</f>
        <v>PHAEOCHROMOCYTOMA SCREEN</v>
      </c>
      <c r="E254" s="110"/>
      <c r="T254" s="110" t="s">
        <v>413</v>
      </c>
      <c r="U254" s="111" t="s">
        <v>504</v>
      </c>
      <c r="V254" s="107">
        <v>13</v>
      </c>
    </row>
    <row r="255" spans="1:22">
      <c r="A255" s="105" t="s">
        <v>505</v>
      </c>
      <c r="B255" s="59">
        <f>+B254+1</f>
        <v>247</v>
      </c>
      <c r="C255" s="102">
        <v>9.7</v>
      </c>
      <c r="D255" s="92" t="str">
        <f>+A255</f>
        <v>PENTOBARBITONE</v>
      </c>
      <c r="E255" s="105"/>
      <c r="T255" s="105" t="s">
        <v>415</v>
      </c>
      <c r="U255" s="111" t="s">
        <v>506</v>
      </c>
      <c r="V255" s="107">
        <v>11.7</v>
      </c>
    </row>
    <row r="256" spans="1:22">
      <c r="A256" s="105" t="s">
        <v>507</v>
      </c>
      <c r="B256" s="59">
        <f>+B255+1</f>
        <v>248</v>
      </c>
      <c r="C256" s="102">
        <v>24.1</v>
      </c>
      <c r="D256" s="92" t="str">
        <f>+A256</f>
        <v>PHENYLALANINE</v>
      </c>
      <c r="E256" s="105"/>
      <c r="T256" s="105" t="s">
        <v>508</v>
      </c>
      <c r="U256" s="108" t="s">
        <v>509</v>
      </c>
      <c r="V256" s="107">
        <v>14.6</v>
      </c>
    </row>
    <row r="257" spans="1:22">
      <c r="A257" s="105" t="s">
        <v>507</v>
      </c>
      <c r="B257" s="59">
        <f>+B256+1</f>
        <v>249</v>
      </c>
      <c r="C257" s="102">
        <v>24.1</v>
      </c>
      <c r="D257" s="92" t="str">
        <f>+A257</f>
        <v>PHENYLALANINE</v>
      </c>
      <c r="E257" s="105"/>
      <c r="T257" s="105" t="s">
        <v>417</v>
      </c>
      <c r="U257" s="111" t="s">
        <v>510</v>
      </c>
      <c r="V257" s="107">
        <v>11.5</v>
      </c>
    </row>
    <row r="258" spans="1:22">
      <c r="A258" s="105" t="s">
        <v>511</v>
      </c>
      <c r="B258" s="59">
        <f>+B257+1</f>
        <v>250</v>
      </c>
      <c r="C258" s="102">
        <v>3.4</v>
      </c>
      <c r="D258" s="92" t="str">
        <f>+A258</f>
        <v>PHOSPHATE (URINE)</v>
      </c>
      <c r="E258" s="105"/>
      <c r="T258" s="105" t="s">
        <v>421</v>
      </c>
      <c r="U258" s="111" t="s">
        <v>512</v>
      </c>
      <c r="V258" s="107">
        <v>3.4</v>
      </c>
    </row>
    <row r="259" spans="1:22">
      <c r="A259" s="105" t="s">
        <v>513</v>
      </c>
      <c r="B259" s="59">
        <f>+B258+1</f>
        <v>251</v>
      </c>
      <c r="C259" s="102">
        <v>14.7</v>
      </c>
      <c r="D259" s="92" t="str">
        <f>+A259</f>
        <v>PORPHOBILINOGEN</v>
      </c>
      <c r="E259" s="105"/>
      <c r="T259" s="105" t="s">
        <v>423</v>
      </c>
      <c r="U259" s="111" t="s">
        <v>514</v>
      </c>
      <c r="V259" s="107">
        <v>3.4</v>
      </c>
    </row>
    <row r="260" spans="1:22">
      <c r="A260" s="105" t="s">
        <v>515</v>
      </c>
      <c r="B260" s="59">
        <f>+B259+1</f>
        <v>252</v>
      </c>
      <c r="C260" s="102">
        <v>2.1</v>
      </c>
      <c r="D260" s="92" t="str">
        <f>+A260</f>
        <v>POTASSIUM (URINE)</v>
      </c>
      <c r="E260" s="105"/>
      <c r="T260" s="105" t="s">
        <v>425</v>
      </c>
      <c r="U260" s="111" t="s">
        <v>516</v>
      </c>
      <c r="V260" s="107">
        <v>14.6</v>
      </c>
    </row>
    <row r="261" spans="1:22">
      <c r="A261" s="105" t="s">
        <v>517</v>
      </c>
      <c r="B261" s="59">
        <f>+B260+1</f>
        <v>253</v>
      </c>
      <c r="C261" s="102">
        <v>6.7</v>
      </c>
      <c r="D261" s="92" t="str">
        <f>+A261</f>
        <v>PREGNANCY TEST (URINE)</v>
      </c>
      <c r="E261" s="105"/>
      <c r="T261" s="105" t="s">
        <v>427</v>
      </c>
      <c r="U261" s="108" t="s">
        <v>518</v>
      </c>
      <c r="V261" s="107">
        <v>7.7</v>
      </c>
    </row>
    <row r="262" spans="1:22">
      <c r="A262" s="110" t="s">
        <v>519</v>
      </c>
      <c r="B262" s="59">
        <f>+B261+1</f>
        <v>254</v>
      </c>
      <c r="C262" s="102">
        <v>19.7</v>
      </c>
      <c r="D262" s="92" t="str">
        <f>+A262</f>
        <v>P3NP</v>
      </c>
      <c r="E262" s="110"/>
      <c r="T262" s="110" t="s">
        <v>430</v>
      </c>
      <c r="U262" s="115"/>
      <c r="V262" s="107">
        <v>24.1</v>
      </c>
    </row>
    <row r="263" spans="1:22">
      <c r="A263" s="105" t="s">
        <v>520</v>
      </c>
      <c r="B263" s="59">
        <f>+B262+1</f>
        <v>255</v>
      </c>
      <c r="C263" s="102">
        <v>3.4</v>
      </c>
      <c r="D263" s="92" t="str">
        <f>+A263</f>
        <v>PROTEIN CREATINE RATIO (URINE)</v>
      </c>
      <c r="E263" s="105"/>
      <c r="T263" s="105" t="s">
        <v>432</v>
      </c>
      <c r="U263" s="111" t="s">
        <v>521</v>
      </c>
      <c r="V263" s="107">
        <v>47.2</v>
      </c>
    </row>
    <row r="264" spans="1:22">
      <c r="A264" s="105" t="s">
        <v>522</v>
      </c>
      <c r="B264" s="59">
        <f>+B263+1</f>
        <v>256</v>
      </c>
      <c r="C264" s="102">
        <v>3.4</v>
      </c>
      <c r="D264" s="92" t="str">
        <f>+A264</f>
        <v>PROTEIN (URINE)</v>
      </c>
      <c r="E264" s="105"/>
      <c r="T264" s="105" t="s">
        <v>434</v>
      </c>
      <c r="U264" s="108" t="s">
        <v>523</v>
      </c>
      <c r="V264" s="107">
        <v>9</v>
      </c>
    </row>
    <row r="265" spans="1:22">
      <c r="A265" s="105" t="s">
        <v>524</v>
      </c>
      <c r="B265" s="59">
        <f>+B264+1</f>
        <v>257</v>
      </c>
      <c r="C265" s="102">
        <v>3.4</v>
      </c>
      <c r="D265" s="92" t="str">
        <f>+A265</f>
        <v>PROTEIN (CSF)</v>
      </c>
      <c r="E265" s="105"/>
      <c r="T265" s="105" t="s">
        <v>438</v>
      </c>
      <c r="U265" s="108" t="s">
        <v>525</v>
      </c>
      <c r="V265" s="107">
        <v>32.3</v>
      </c>
    </row>
    <row r="266" spans="1:22">
      <c r="A266" s="105" t="s">
        <v>526</v>
      </c>
      <c r="B266" s="59">
        <f>+B265+1</f>
        <v>258</v>
      </c>
      <c r="C266" s="102">
        <v>3.4</v>
      </c>
      <c r="D266" s="92" t="str">
        <f>+A266</f>
        <v>PROTEIN (FLUID)</v>
      </c>
      <c r="E266" s="105"/>
      <c r="T266" s="105" t="s">
        <v>440</v>
      </c>
      <c r="U266" s="108" t="s">
        <v>527</v>
      </c>
      <c r="V266" s="107">
        <v>30.7</v>
      </c>
    </row>
    <row r="267" spans="1:22">
      <c r="A267" s="105" t="s">
        <v>528</v>
      </c>
      <c r="B267" s="59">
        <f>+B266+1</f>
        <v>259</v>
      </c>
      <c r="C267" s="102">
        <v>13</v>
      </c>
      <c r="D267" s="92" t="str">
        <f>+A267</f>
        <v>PTH</v>
      </c>
      <c r="E267" s="105"/>
      <c r="T267" s="105" t="s">
        <v>442</v>
      </c>
      <c r="U267" s="108" t="s">
        <v>529</v>
      </c>
      <c r="V267" s="107">
        <v>15.5</v>
      </c>
    </row>
    <row r="268" spans="1:22">
      <c r="A268" s="105" t="s">
        <v>530</v>
      </c>
      <c r="B268" s="59">
        <f>+B267+1</f>
        <v>260</v>
      </c>
      <c r="C268" s="102">
        <v>28.1</v>
      </c>
      <c r="D268" s="92" t="str">
        <f>+A268</f>
        <v>RENIN</v>
      </c>
      <c r="E268" s="105"/>
      <c r="T268" s="105" t="s">
        <v>444</v>
      </c>
      <c r="U268" s="111" t="s">
        <v>531</v>
      </c>
      <c r="V268" s="107">
        <v>32.3</v>
      </c>
    </row>
    <row r="269" spans="1:22">
      <c r="A269" s="105" t="s">
        <v>532</v>
      </c>
      <c r="B269" s="59">
        <f>+B268+1</f>
        <v>261</v>
      </c>
      <c r="C269" s="102">
        <v>11.7</v>
      </c>
      <c r="D269" s="92" t="str">
        <f>+A269</f>
        <v>SHBG</v>
      </c>
      <c r="E269" s="105"/>
      <c r="T269" s="105" t="s">
        <v>446</v>
      </c>
      <c r="U269" s="108" t="s">
        <v>533</v>
      </c>
      <c r="V269" s="107">
        <v>9</v>
      </c>
    </row>
    <row r="270" spans="1:22">
      <c r="A270" s="105" t="s">
        <v>534</v>
      </c>
      <c r="B270" s="59">
        <f>+B269+1</f>
        <v>262</v>
      </c>
      <c r="C270" s="102">
        <v>25.8</v>
      </c>
      <c r="D270" s="92" t="str">
        <f>+A270</f>
        <v>SIROLIMUS</v>
      </c>
      <c r="E270" s="105"/>
      <c r="T270" s="105" t="s">
        <v>448</v>
      </c>
      <c r="U270" s="111" t="s">
        <v>535</v>
      </c>
      <c r="V270" s="107">
        <v>5.9</v>
      </c>
    </row>
    <row r="271" spans="1:22">
      <c r="A271" s="105" t="s">
        <v>536</v>
      </c>
      <c r="B271" s="59">
        <f>+B270+1</f>
        <v>263</v>
      </c>
      <c r="C271" s="102">
        <v>2.1</v>
      </c>
      <c r="D271" s="92" t="str">
        <f>+A271</f>
        <v>SODIUM (URINE)</v>
      </c>
      <c r="E271" s="105"/>
      <c r="T271" s="105" t="s">
        <v>450</v>
      </c>
      <c r="U271" s="111" t="s">
        <v>537</v>
      </c>
      <c r="V271" s="107">
        <v>4.5</v>
      </c>
    </row>
    <row r="272" spans="1:22">
      <c r="A272" s="105" t="s">
        <v>538</v>
      </c>
      <c r="B272" s="59">
        <f>+B271+1</f>
        <v>264</v>
      </c>
      <c r="C272" s="102">
        <v>16.3</v>
      </c>
      <c r="D272" s="92" t="str">
        <f>+A272</f>
        <v>IGF-1 SOMATOMEDIN C </v>
      </c>
      <c r="E272" s="105"/>
      <c r="T272" s="105" t="s">
        <v>283</v>
      </c>
      <c r="U272" s="109" t="s">
        <v>284</v>
      </c>
      <c r="V272" s="107">
        <v>3.4</v>
      </c>
    </row>
    <row r="273" spans="1:22">
      <c r="A273" s="105" t="s">
        <v>539</v>
      </c>
      <c r="B273" s="59">
        <f>+B272+1</f>
        <v>265</v>
      </c>
      <c r="C273" s="102">
        <v>30</v>
      </c>
      <c r="D273" s="92" t="str">
        <f>+A273</f>
        <v>STONE ANALYSIS - FTIR</v>
      </c>
      <c r="E273" s="105"/>
      <c r="T273" s="105" t="s">
        <v>318</v>
      </c>
      <c r="U273" s="109" t="s">
        <v>319</v>
      </c>
      <c r="V273" s="107">
        <v>7.6</v>
      </c>
    </row>
    <row r="274" spans="1:22">
      <c r="A274" s="105" t="s">
        <v>540</v>
      </c>
      <c r="B274" s="59">
        <f>+B273+1</f>
        <v>266</v>
      </c>
      <c r="C274" s="102">
        <v>29</v>
      </c>
      <c r="D274" s="92" t="str">
        <f>+A274</f>
        <v>SUGAR CHROMATOGRAPHY FAECAL</v>
      </c>
      <c r="E274" s="105"/>
      <c r="T274" s="105" t="s">
        <v>367</v>
      </c>
      <c r="U274" s="109" t="s">
        <v>368</v>
      </c>
      <c r="V274" s="107">
        <v>3.4</v>
      </c>
    </row>
    <row r="275" spans="1:22">
      <c r="A275" s="105" t="s">
        <v>541</v>
      </c>
      <c r="B275" s="59">
        <f>+B274+1</f>
        <v>267</v>
      </c>
      <c r="C275" s="102">
        <v>29</v>
      </c>
      <c r="D275" s="92" t="str">
        <f>+A275</f>
        <v>SUGAR CHROMATOGRAPHY URINE</v>
      </c>
      <c r="E275" s="105"/>
      <c r="T275" s="105" t="s">
        <v>455</v>
      </c>
      <c r="U275" s="115"/>
      <c r="V275" s="107">
        <v>11.7</v>
      </c>
    </row>
    <row r="276" spans="1:22">
      <c r="A276" s="105" t="s">
        <v>542</v>
      </c>
      <c r="B276" s="59">
        <f>+B275+1</f>
        <v>268</v>
      </c>
      <c r="C276" s="102">
        <v>36.9</v>
      </c>
      <c r="D276" s="92" t="str">
        <f>+A276</f>
        <v>SWEAT TEST</v>
      </c>
      <c r="E276" s="105"/>
      <c r="T276" s="105" t="s">
        <v>457</v>
      </c>
      <c r="U276" s="115"/>
      <c r="V276" s="107">
        <v>11.7</v>
      </c>
    </row>
    <row r="277" spans="1:22">
      <c r="A277" s="105" t="s">
        <v>543</v>
      </c>
      <c r="B277" s="59">
        <f>+B276+1</f>
        <v>269</v>
      </c>
      <c r="C277" s="102">
        <v>8.5</v>
      </c>
      <c r="D277" s="92" t="str">
        <f>+A277</f>
        <v>TESTOSTERONE</v>
      </c>
      <c r="E277" s="105"/>
      <c r="T277" s="105" t="s">
        <v>459</v>
      </c>
      <c r="U277" s="115"/>
      <c r="V277" s="107">
        <v>11.7</v>
      </c>
    </row>
    <row r="278" spans="1:22">
      <c r="A278" s="105" t="s">
        <v>544</v>
      </c>
      <c r="B278" s="59">
        <f>+B277+1</f>
        <v>270</v>
      </c>
      <c r="C278" s="102">
        <v>12.3</v>
      </c>
      <c r="D278" s="92" t="str">
        <f>+A278</f>
        <v>THYROGLOBULIN</v>
      </c>
      <c r="E278" s="105"/>
      <c r="T278" s="105" t="s">
        <v>462</v>
      </c>
      <c r="U278" s="108" t="s">
        <v>545</v>
      </c>
      <c r="V278" s="107">
        <v>6</v>
      </c>
    </row>
    <row r="279" spans="1:22">
      <c r="A279" s="110" t="s">
        <v>546</v>
      </c>
      <c r="B279" s="59">
        <f>+B278+1</f>
        <v>271</v>
      </c>
      <c r="C279" s="102">
        <v>12.3</v>
      </c>
      <c r="D279" s="92" t="str">
        <f>+A279</f>
        <v>THYROGLOBULIN ANTIBODIES</v>
      </c>
      <c r="E279" s="110"/>
      <c r="T279" s="110" t="s">
        <v>464</v>
      </c>
      <c r="U279" s="108" t="s">
        <v>547</v>
      </c>
      <c r="V279" s="107">
        <v>19.8</v>
      </c>
    </row>
    <row r="280" spans="1:22">
      <c r="A280" s="110" t="s">
        <v>548</v>
      </c>
      <c r="B280" s="59">
        <f>+B279+1</f>
        <v>272</v>
      </c>
      <c r="C280" s="102">
        <v>12.5</v>
      </c>
      <c r="D280" s="92" t="str">
        <f>+A280</f>
        <v>THYROGLOBULIN TITRE </v>
      </c>
      <c r="E280" s="110"/>
      <c r="T280" s="110" t="s">
        <v>466</v>
      </c>
      <c r="U280" s="108" t="s">
        <v>549</v>
      </c>
      <c r="V280" s="107">
        <v>5</v>
      </c>
    </row>
    <row r="281" spans="1:22">
      <c r="A281" s="110" t="s">
        <v>550</v>
      </c>
      <c r="B281" s="59">
        <f>+B280+1</f>
        <v>273</v>
      </c>
      <c r="C281" s="102">
        <v>6</v>
      </c>
      <c r="D281" s="92" t="str">
        <f>+A281</f>
        <v>TOBRAMYCIN</v>
      </c>
      <c r="E281" s="110"/>
      <c r="T281" s="110" t="s">
        <v>468</v>
      </c>
      <c r="U281" s="108" t="s">
        <v>551</v>
      </c>
      <c r="V281" s="107">
        <v>13</v>
      </c>
    </row>
    <row r="282" spans="1:22">
      <c r="A282" s="110" t="s">
        <v>552</v>
      </c>
      <c r="B282" s="59">
        <f>+B281+1</f>
        <v>274</v>
      </c>
      <c r="C282" s="102">
        <v>20</v>
      </c>
      <c r="D282" s="92" t="str">
        <f>+A282</f>
        <v>TPMT</v>
      </c>
      <c r="E282" s="110"/>
      <c r="T282" s="110" t="s">
        <v>470</v>
      </c>
      <c r="U282" s="108" t="s">
        <v>553</v>
      </c>
      <c r="V282" s="107">
        <v>7.7</v>
      </c>
    </row>
    <row r="283" spans="1:22">
      <c r="A283" s="105" t="s">
        <v>370</v>
      </c>
      <c r="B283" s="59">
        <f>+B282+1</f>
        <v>275</v>
      </c>
      <c r="C283" s="102">
        <v>10.2</v>
      </c>
      <c r="D283" s="92" t="str">
        <f>+A283</f>
        <v>TROPONIN - I</v>
      </c>
      <c r="E283" s="105"/>
      <c r="T283" s="105" t="s">
        <v>472</v>
      </c>
      <c r="U283" s="108" t="s">
        <v>554</v>
      </c>
      <c r="V283" s="107">
        <v>17.9</v>
      </c>
    </row>
    <row r="284" spans="1:22">
      <c r="A284" s="110" t="s">
        <v>555</v>
      </c>
      <c r="B284" s="59">
        <f>+B283+1</f>
        <v>276</v>
      </c>
      <c r="C284" s="102">
        <v>4.3</v>
      </c>
      <c r="D284" s="92" t="str">
        <f>+A284</f>
        <v>URINE  ANALYSIS</v>
      </c>
      <c r="E284" s="110"/>
      <c r="T284" s="110" t="s">
        <v>474</v>
      </c>
      <c r="U284" s="108" t="s">
        <v>556</v>
      </c>
      <c r="V284" s="107">
        <v>35.2</v>
      </c>
    </row>
    <row r="285" spans="1:22">
      <c r="A285" s="105" t="s">
        <v>557</v>
      </c>
      <c r="B285" s="59">
        <f>+B284+1</f>
        <v>277</v>
      </c>
      <c r="C285" s="102">
        <v>2.1</v>
      </c>
      <c r="D285" s="92" t="str">
        <f>+A285</f>
        <v>UREA (URINE)</v>
      </c>
      <c r="E285" s="105"/>
      <c r="T285" s="105" t="s">
        <v>475</v>
      </c>
      <c r="U285" s="108" t="s">
        <v>558</v>
      </c>
      <c r="V285" s="107">
        <v>25.8</v>
      </c>
    </row>
    <row r="286" spans="1:22">
      <c r="A286" s="105" t="s">
        <v>559</v>
      </c>
      <c r="B286" s="59">
        <f>+B285+1</f>
        <v>278</v>
      </c>
      <c r="C286" s="102">
        <v>2.1</v>
      </c>
      <c r="D286" s="92" t="str">
        <f>+A286</f>
        <v>URATE (URINE)</v>
      </c>
      <c r="E286" s="105"/>
      <c r="T286" s="105" t="s">
        <v>477</v>
      </c>
      <c r="U286" s="108" t="s">
        <v>560</v>
      </c>
      <c r="V286" s="107">
        <v>20.3</v>
      </c>
    </row>
    <row r="287" spans="1:22">
      <c r="A287" s="105" t="s">
        <v>561</v>
      </c>
      <c r="B287" s="59">
        <f>+B286+1</f>
        <v>279</v>
      </c>
      <c r="C287" s="102">
        <v>5.9</v>
      </c>
      <c r="D287" s="92" t="str">
        <f>+A287</f>
        <v>UROBILINOGEN</v>
      </c>
      <c r="E287" s="105"/>
      <c r="T287" s="105" t="s">
        <v>479</v>
      </c>
      <c r="U287" s="108" t="s">
        <v>562</v>
      </c>
      <c r="V287" s="107">
        <v>20.3</v>
      </c>
    </row>
    <row r="288" spans="1:22">
      <c r="A288" s="105" t="s">
        <v>563</v>
      </c>
      <c r="B288" s="59">
        <f>+B287+1</f>
        <v>280</v>
      </c>
      <c r="C288" s="102">
        <v>5</v>
      </c>
      <c r="D288" s="92" t="str">
        <f>+A288</f>
        <v>UROPORPHYRIN</v>
      </c>
      <c r="E288" s="105"/>
      <c r="T288" s="105" t="s">
        <v>481</v>
      </c>
      <c r="U288" s="108" t="s">
        <v>564</v>
      </c>
      <c r="V288" s="107">
        <v>29</v>
      </c>
    </row>
    <row r="289" spans="1:22">
      <c r="A289" s="105" t="s">
        <v>565</v>
      </c>
      <c r="B289" s="59">
        <f>+B288+1</f>
        <v>281</v>
      </c>
      <c r="C289" s="102">
        <v>6</v>
      </c>
      <c r="D289" s="92" t="str">
        <f>+A289</f>
        <v>VANCOMYCIN</v>
      </c>
      <c r="E289" s="105"/>
      <c r="T289" s="105" t="s">
        <v>483</v>
      </c>
      <c r="U289" s="108" t="s">
        <v>566</v>
      </c>
      <c r="V289" s="107">
        <v>7.7</v>
      </c>
    </row>
    <row r="290" spans="1:22">
      <c r="A290" s="105" t="s">
        <v>567</v>
      </c>
      <c r="B290" s="59">
        <f>+B289+1</f>
        <v>282</v>
      </c>
      <c r="C290" s="102">
        <v>12.5</v>
      </c>
      <c r="D290" s="92" t="str">
        <f>+A290</f>
        <v>VITAMIN A (PLASMA)</v>
      </c>
      <c r="E290" s="105"/>
      <c r="T290" s="105" t="s">
        <v>568</v>
      </c>
      <c r="U290" s="111" t="s">
        <v>569</v>
      </c>
      <c r="V290" s="107">
        <v>35</v>
      </c>
    </row>
    <row r="291" spans="1:22">
      <c r="A291" s="105" t="s">
        <v>570</v>
      </c>
      <c r="B291" s="59">
        <f>+B290+1</f>
        <v>283</v>
      </c>
      <c r="C291" s="102">
        <v>26.1</v>
      </c>
      <c r="D291" s="92" t="str">
        <f>+A291</f>
        <v>VITAMIN A &amp; E (PLASMA)</v>
      </c>
      <c r="E291" s="105"/>
      <c r="T291" s="105" t="s">
        <v>487</v>
      </c>
      <c r="U291" s="108" t="s">
        <v>571</v>
      </c>
      <c r="V291" s="107">
        <v>22.6</v>
      </c>
    </row>
    <row r="292" spans="1:22">
      <c r="A292" s="105" t="s">
        <v>572</v>
      </c>
      <c r="B292" s="59">
        <f>+B291+1</f>
        <v>284</v>
      </c>
      <c r="C292" s="102">
        <v>27.2</v>
      </c>
      <c r="D292" s="92" t="str">
        <f>+A292</f>
        <v>VITAMIN C</v>
      </c>
      <c r="E292" s="105"/>
      <c r="T292" s="105" t="s">
        <v>489</v>
      </c>
      <c r="U292" s="108" t="s">
        <v>573</v>
      </c>
      <c r="V292" s="107">
        <v>54.6</v>
      </c>
    </row>
    <row r="293" spans="1:22">
      <c r="A293" s="105" t="s">
        <v>574</v>
      </c>
      <c r="B293" s="59">
        <f>+B292+1</f>
        <v>285</v>
      </c>
      <c r="C293" s="102">
        <v>24</v>
      </c>
      <c r="D293" s="92" t="str">
        <f>+A293</f>
        <v>VITAMIN D (25OHCC)</v>
      </c>
      <c r="E293" s="105"/>
      <c r="T293" s="105" t="s">
        <v>491</v>
      </c>
      <c r="U293" s="108" t="s">
        <v>575</v>
      </c>
      <c r="V293" s="107">
        <v>24.1</v>
      </c>
    </row>
    <row r="294" spans="1:22">
      <c r="A294" s="105" t="s">
        <v>576</v>
      </c>
      <c r="B294" s="59">
        <f>+B293+1</f>
        <v>286</v>
      </c>
      <c r="C294" s="102">
        <v>19</v>
      </c>
      <c r="D294" s="92" t="str">
        <f>+A294</f>
        <v>TACROLIMUS</v>
      </c>
      <c r="E294" s="105"/>
      <c r="T294" s="105" t="s">
        <v>493</v>
      </c>
      <c r="U294" s="108" t="s">
        <v>577</v>
      </c>
      <c r="V294" s="107">
        <v>3.4</v>
      </c>
    </row>
    <row r="295" spans="1:22">
      <c r="A295" s="105" t="s">
        <v>574</v>
      </c>
      <c r="B295" s="59">
        <f>+B294+1</f>
        <v>287</v>
      </c>
      <c r="C295" s="102">
        <v>24</v>
      </c>
      <c r="D295" s="92" t="str">
        <f>+A295</f>
        <v>VITAMIN D (25OHCC)</v>
      </c>
      <c r="E295" s="105"/>
      <c r="T295" s="105" t="s">
        <v>495</v>
      </c>
      <c r="U295" s="108" t="s">
        <v>578</v>
      </c>
      <c r="V295" s="107">
        <v>3.4</v>
      </c>
    </row>
    <row r="296" spans="1:22">
      <c r="A296" s="105" t="s">
        <v>579</v>
      </c>
      <c r="B296" s="59">
        <f>+B295+1</f>
        <v>288</v>
      </c>
      <c r="C296" s="102">
        <v>12.5</v>
      </c>
      <c r="D296" s="92" t="str">
        <f>+A296</f>
        <v>VITAMIN E (PLASMA)</v>
      </c>
      <c r="E296" s="105"/>
      <c r="T296" s="105" t="s">
        <v>497</v>
      </c>
      <c r="U296" s="108" t="s">
        <v>580</v>
      </c>
      <c r="V296" s="107">
        <v>16.3</v>
      </c>
    </row>
    <row r="297" spans="1:22">
      <c r="A297" s="105" t="s">
        <v>581</v>
      </c>
      <c r="B297" s="59">
        <f>+B296+1</f>
        <v>289</v>
      </c>
      <c r="C297" s="102">
        <v>66.4</v>
      </c>
      <c r="D297" s="92" t="str">
        <f>+A297</f>
        <v>VITAMINS A E &amp; D IGF1</v>
      </c>
      <c r="E297" s="105"/>
      <c r="T297" s="105" t="s">
        <v>499</v>
      </c>
      <c r="U297" s="108" t="s">
        <v>582</v>
      </c>
      <c r="V297" s="107">
        <v>7.7</v>
      </c>
    </row>
    <row r="298" spans="1:22">
      <c r="A298" s="105" t="s">
        <v>583</v>
      </c>
      <c r="B298" s="59">
        <f>+B297+1</f>
        <v>290</v>
      </c>
      <c r="C298" s="102">
        <v>60.1</v>
      </c>
      <c r="D298" s="92" t="str">
        <f>+A298</f>
        <v>DOXEPIN</v>
      </c>
      <c r="E298" s="105"/>
      <c r="T298" s="105" t="s">
        <v>501</v>
      </c>
      <c r="U298" s="108" t="s">
        <v>584</v>
      </c>
      <c r="V298" s="107">
        <v>16.3</v>
      </c>
    </row>
    <row r="299" spans="1:22">
      <c r="A299" s="105" t="s">
        <v>585</v>
      </c>
      <c r="B299" s="59">
        <f>+B298+1</f>
        <v>291</v>
      </c>
      <c r="C299" s="102">
        <v>27.5</v>
      </c>
      <c r="D299" s="92" t="str">
        <f>+A299</f>
        <v>CYSTINE / CREATININE</v>
      </c>
      <c r="E299" s="105"/>
      <c r="T299" s="105" t="s">
        <v>503</v>
      </c>
      <c r="U299" s="108" t="s">
        <v>586</v>
      </c>
      <c r="V299" s="107">
        <v>24.1</v>
      </c>
    </row>
    <row r="300" spans="1:22">
      <c r="A300" s="105" t="s">
        <v>587</v>
      </c>
      <c r="B300" s="59">
        <f>+B299+1</f>
        <v>292</v>
      </c>
      <c r="C300" s="102">
        <v>35</v>
      </c>
      <c r="D300" s="92" t="str">
        <f>+A300</f>
        <v>TSH RECEPTOR ANTIBODIES</v>
      </c>
      <c r="E300" s="105"/>
      <c r="T300" s="105" t="s">
        <v>507</v>
      </c>
      <c r="U300" s="111" t="s">
        <v>588</v>
      </c>
      <c r="V300" s="107">
        <v>24.1</v>
      </c>
    </row>
    <row r="301" spans="1:22" ht="13">
      <c r="A301" s="116" t="s">
        <v>242</v>
      </c>
      <c r="B301" s="59">
        <f>+B300+1</f>
        <v>293</v>
      </c>
      <c r="C301" s="102">
        <v>0</v>
      </c>
      <c r="D301" s="103" t="str">
        <f>+A301</f>
        <v>Clinical Biochemistry</v>
      </c>
      <c r="E301" s="105"/>
      <c r="T301" s="105" t="s">
        <v>511</v>
      </c>
      <c r="U301" s="108" t="s">
        <v>589</v>
      </c>
      <c r="V301" s="107">
        <v>3.4</v>
      </c>
    </row>
    <row r="302" spans="1:22">
      <c r="A302" s="117" t="s">
        <v>248</v>
      </c>
      <c r="B302" s="59">
        <f>+B301+1</f>
        <v>294</v>
      </c>
      <c r="C302" s="102">
        <v>5</v>
      </c>
      <c r="D302" s="92" t="str">
        <f>+A302</f>
        <v>RENAL PROFILE</v>
      </c>
      <c r="E302" s="105"/>
      <c r="T302" s="105" t="s">
        <v>513</v>
      </c>
      <c r="U302" s="108" t="s">
        <v>590</v>
      </c>
      <c r="V302" s="107">
        <v>14.7</v>
      </c>
    </row>
    <row r="303" spans="1:22">
      <c r="A303" s="117" t="s">
        <v>251</v>
      </c>
      <c r="B303" s="59">
        <f>+B302+1</f>
        <v>295</v>
      </c>
      <c r="C303" s="102">
        <v>5</v>
      </c>
      <c r="D303" s="92" t="str">
        <f>+A303</f>
        <v>BONE PROFILE</v>
      </c>
      <c r="E303" s="105"/>
      <c r="T303" s="105" t="s">
        <v>591</v>
      </c>
      <c r="U303" s="108" t="s">
        <v>592</v>
      </c>
      <c r="V303" s="107">
        <v>37.9</v>
      </c>
    </row>
    <row r="304" spans="1:22">
      <c r="A304" s="117" t="s">
        <v>254</v>
      </c>
      <c r="B304" s="59">
        <f>+B303+1</f>
        <v>296</v>
      </c>
      <c r="C304" s="102">
        <v>5</v>
      </c>
      <c r="D304" s="92" t="str">
        <f>+A304</f>
        <v>LIVER PROFILE</v>
      </c>
      <c r="E304" s="105"/>
      <c r="T304" s="105" t="s">
        <v>593</v>
      </c>
      <c r="U304" s="108" t="s">
        <v>594</v>
      </c>
      <c r="V304" s="107">
        <v>37.9</v>
      </c>
    </row>
    <row r="305" spans="1:22">
      <c r="A305" s="117" t="s">
        <v>257</v>
      </c>
      <c r="B305" s="59">
        <f>+B304+1</f>
        <v>297</v>
      </c>
      <c r="C305" s="102">
        <v>13.1</v>
      </c>
      <c r="D305" s="92" t="str">
        <f>+A305</f>
        <v>TPN PROFILE</v>
      </c>
      <c r="E305" s="105"/>
      <c r="T305" s="105" t="s">
        <v>595</v>
      </c>
      <c r="U305" s="108" t="s">
        <v>589</v>
      </c>
      <c r="V305" s="107">
        <v>11.7</v>
      </c>
    </row>
    <row r="306" spans="1:22">
      <c r="A306" s="117" t="s">
        <v>260</v>
      </c>
      <c r="B306" s="59">
        <f>+B305+1</f>
        <v>298</v>
      </c>
      <c r="C306" s="102">
        <v>11.9</v>
      </c>
      <c r="D306" s="92" t="str">
        <f>+A306</f>
        <v>AFP</v>
      </c>
      <c r="E306" s="105"/>
      <c r="T306" s="105" t="s">
        <v>515</v>
      </c>
      <c r="U306" s="108" t="s">
        <v>596</v>
      </c>
      <c r="V306" s="107">
        <v>2.1</v>
      </c>
    </row>
    <row r="307" spans="1:22">
      <c r="A307" s="117" t="s">
        <v>263</v>
      </c>
      <c r="B307" s="59">
        <f>+B306+1</f>
        <v>299</v>
      </c>
      <c r="C307" s="102">
        <v>5</v>
      </c>
      <c r="D307" s="92" t="str">
        <f>+A307</f>
        <v>AMYLASE</v>
      </c>
      <c r="E307" s="105"/>
      <c r="T307" s="105" t="s">
        <v>517</v>
      </c>
      <c r="U307" s="108" t="s">
        <v>597</v>
      </c>
      <c r="V307" s="107">
        <v>6.7</v>
      </c>
    </row>
    <row r="308" spans="1:22">
      <c r="A308" s="117" t="s">
        <v>266</v>
      </c>
      <c r="B308" s="59">
        <f>+B307+1</f>
        <v>300</v>
      </c>
      <c r="C308" s="102">
        <v>4.8</v>
      </c>
      <c r="D308" s="92" t="str">
        <f>+A308</f>
        <v>AST</v>
      </c>
      <c r="E308" s="105"/>
      <c r="T308" s="105" t="s">
        <v>519</v>
      </c>
      <c r="U308" s="111" t="s">
        <v>519</v>
      </c>
      <c r="V308" s="107">
        <v>19.7</v>
      </c>
    </row>
    <row r="309" spans="1:22">
      <c r="A309" s="117" t="s">
        <v>268</v>
      </c>
      <c r="B309" s="59">
        <f>+B308+1</f>
        <v>301</v>
      </c>
      <c r="C309" s="102">
        <v>4.4</v>
      </c>
      <c r="D309" s="92" t="str">
        <f>+A309</f>
        <v>BICARBONATE</v>
      </c>
      <c r="E309" s="105"/>
      <c r="T309" s="105" t="s">
        <v>520</v>
      </c>
      <c r="U309" s="108" t="s">
        <v>598</v>
      </c>
      <c r="V309" s="107">
        <v>3.4</v>
      </c>
    </row>
    <row r="310" spans="1:22">
      <c r="A310" s="117" t="s">
        <v>271</v>
      </c>
      <c r="B310" s="59">
        <f>+B309+1</f>
        <v>302</v>
      </c>
      <c r="C310" s="102">
        <v>5</v>
      </c>
      <c r="D310" s="92" t="str">
        <f>+A310</f>
        <v>BILIRUBIN - DIRECT</v>
      </c>
      <c r="E310" s="105"/>
      <c r="T310" s="105" t="s">
        <v>522</v>
      </c>
      <c r="U310" s="108" t="s">
        <v>599</v>
      </c>
      <c r="V310" s="107">
        <v>3.4</v>
      </c>
    </row>
    <row r="311" spans="1:22">
      <c r="A311" s="117" t="s">
        <v>274</v>
      </c>
      <c r="B311" s="59">
        <f>+B310+1</f>
        <v>303</v>
      </c>
      <c r="C311" s="102">
        <v>5</v>
      </c>
      <c r="D311" s="92" t="str">
        <f>+A311</f>
        <v>BILIRUBIN - NEONATAL</v>
      </c>
      <c r="E311" s="105"/>
      <c r="T311" s="105" t="s">
        <v>524</v>
      </c>
      <c r="U311" s="108" t="s">
        <v>600</v>
      </c>
      <c r="V311" s="107">
        <v>3.4</v>
      </c>
    </row>
    <row r="312" spans="1:22">
      <c r="A312" s="117" t="s">
        <v>277</v>
      </c>
      <c r="B312" s="59">
        <f>+B311+1</f>
        <v>304</v>
      </c>
      <c r="C312" s="102">
        <v>9.7</v>
      </c>
      <c r="D312" s="92" t="str">
        <f>+A312</f>
        <v>CARBAMAZEPINE</v>
      </c>
      <c r="E312" s="105"/>
      <c r="T312" s="105" t="s">
        <v>526</v>
      </c>
      <c r="U312" s="108" t="s">
        <v>601</v>
      </c>
      <c r="V312" s="107">
        <v>3.4</v>
      </c>
    </row>
    <row r="313" spans="1:22">
      <c r="A313" s="117" t="s">
        <v>280</v>
      </c>
      <c r="B313" s="59">
        <f>+B312+1</f>
        <v>305</v>
      </c>
      <c r="C313" s="102">
        <v>2.8</v>
      </c>
      <c r="D313" s="92" t="str">
        <f>+A313</f>
        <v>CHLORIDE</v>
      </c>
      <c r="E313" s="105"/>
      <c r="T313" s="105" t="s">
        <v>528</v>
      </c>
      <c r="U313" s="108" t="s">
        <v>602</v>
      </c>
      <c r="V313" s="107">
        <v>13</v>
      </c>
    </row>
    <row r="314" spans="1:22">
      <c r="A314" s="117" t="s">
        <v>283</v>
      </c>
      <c r="B314" s="59">
        <f>+B313+1</f>
        <v>306</v>
      </c>
      <c r="C314" s="102">
        <v>3.4</v>
      </c>
      <c r="D314" s="92" t="str">
        <f>+A314</f>
        <v>CHOLESTEROL</v>
      </c>
      <c r="E314" s="105"/>
      <c r="T314" s="105" t="s">
        <v>530</v>
      </c>
      <c r="U314" s="108" t="s">
        <v>603</v>
      </c>
      <c r="V314" s="107">
        <v>29</v>
      </c>
    </row>
    <row r="315" spans="1:22">
      <c r="A315" s="117" t="s">
        <v>286</v>
      </c>
      <c r="B315" s="59">
        <f>+B314+1</f>
        <v>307</v>
      </c>
      <c r="C315" s="102">
        <v>3.4</v>
      </c>
      <c r="D315" s="92" t="str">
        <f>+A315</f>
        <v>CK</v>
      </c>
      <c r="E315" s="105"/>
      <c r="T315" s="105" t="s">
        <v>532</v>
      </c>
      <c r="U315" s="108" t="s">
        <v>532</v>
      </c>
      <c r="V315" s="107">
        <v>11.7</v>
      </c>
    </row>
    <row r="316" spans="1:22">
      <c r="A316" s="117" t="s">
        <v>288</v>
      </c>
      <c r="B316" s="59">
        <f>+B315+1</f>
        <v>308</v>
      </c>
      <c r="C316" s="102">
        <v>3.9</v>
      </c>
      <c r="D316" s="92" t="str">
        <f>+A316</f>
        <v>C-REACTIVE PROTEIN</v>
      </c>
      <c r="E316" s="105"/>
      <c r="T316" s="105" t="s">
        <v>534</v>
      </c>
      <c r="U316" s="108" t="s">
        <v>604</v>
      </c>
      <c r="V316" s="107">
        <v>25.8</v>
      </c>
    </row>
    <row r="317" spans="1:22">
      <c r="A317" s="117" t="s">
        <v>291</v>
      </c>
      <c r="B317" s="59">
        <f>+B316+1</f>
        <v>309</v>
      </c>
      <c r="C317" s="102">
        <v>11.7</v>
      </c>
      <c r="D317" s="92" t="str">
        <f>+A317</f>
        <v>DIGOXIN</v>
      </c>
      <c r="E317" s="105"/>
      <c r="T317" s="105" t="s">
        <v>536</v>
      </c>
      <c r="U317" s="108" t="s">
        <v>605</v>
      </c>
      <c r="V317" s="107">
        <v>2.1</v>
      </c>
    </row>
    <row r="318" spans="1:22">
      <c r="A318" s="117" t="s">
        <v>294</v>
      </c>
      <c r="B318" s="59">
        <f>+B317+1</f>
        <v>310</v>
      </c>
      <c r="C318" s="102">
        <v>14.1</v>
      </c>
      <c r="D318" s="92" t="str">
        <f>+A318</f>
        <v>FERRITIN</v>
      </c>
      <c r="E318" s="105"/>
      <c r="T318" s="105" t="s">
        <v>606</v>
      </c>
      <c r="U318" s="108" t="s">
        <v>607</v>
      </c>
      <c r="V318" s="107">
        <v>16.3</v>
      </c>
    </row>
    <row r="319" spans="1:22">
      <c r="A319" s="117" t="s">
        <v>297</v>
      </c>
      <c r="B319" s="59">
        <f>+B318+1</f>
        <v>311</v>
      </c>
      <c r="C319" s="102">
        <v>9.3</v>
      </c>
      <c r="D319" s="92" t="str">
        <f>+A319</f>
        <v>FOLATE (PLASMA)</v>
      </c>
      <c r="E319" s="105"/>
      <c r="T319" s="105" t="s">
        <v>608</v>
      </c>
      <c r="U319" s="108" t="s">
        <v>609</v>
      </c>
      <c r="V319" s="107">
        <v>49.9</v>
      </c>
    </row>
    <row r="320" spans="1:22">
      <c r="A320" s="117" t="s">
        <v>300</v>
      </c>
      <c r="B320" s="59">
        <f>+B319+1</f>
        <v>312</v>
      </c>
      <c r="C320" s="102">
        <v>8.5</v>
      </c>
      <c r="D320" s="92" t="str">
        <f>+A320</f>
        <v>FREE T3</v>
      </c>
      <c r="E320" s="105"/>
      <c r="T320" s="105" t="s">
        <v>540</v>
      </c>
      <c r="U320" s="111" t="s">
        <v>610</v>
      </c>
      <c r="V320" s="107">
        <v>29</v>
      </c>
    </row>
    <row r="321" spans="1:22">
      <c r="A321" s="117" t="s">
        <v>303</v>
      </c>
      <c r="B321" s="59">
        <f>+B320+1</f>
        <v>313</v>
      </c>
      <c r="C321" s="102">
        <v>5</v>
      </c>
      <c r="D321" s="92" t="str">
        <f>+A321</f>
        <v>FREE T4</v>
      </c>
      <c r="E321" s="105"/>
      <c r="T321" s="105" t="s">
        <v>541</v>
      </c>
      <c r="U321" s="111" t="s">
        <v>611</v>
      </c>
      <c r="V321" s="107">
        <v>29</v>
      </c>
    </row>
    <row r="322" spans="1:22">
      <c r="A322" s="117" t="s">
        <v>306</v>
      </c>
      <c r="B322" s="59">
        <f>+B321+1</f>
        <v>314</v>
      </c>
      <c r="C322" s="102">
        <v>6.7</v>
      </c>
      <c r="D322" s="92" t="str">
        <f>+A322</f>
        <v>FSH</v>
      </c>
      <c r="E322" s="105"/>
      <c r="T322" s="105" t="s">
        <v>542</v>
      </c>
      <c r="U322" s="108" t="s">
        <v>612</v>
      </c>
      <c r="V322" s="107">
        <v>36.9</v>
      </c>
    </row>
    <row r="323" spans="1:22">
      <c r="A323" s="117" t="s">
        <v>309</v>
      </c>
      <c r="B323" s="59">
        <f>+B322+1</f>
        <v>315</v>
      </c>
      <c r="C323" s="102">
        <v>3.4</v>
      </c>
      <c r="D323" s="92" t="str">
        <f>+A323</f>
        <v>GAMMA GT</v>
      </c>
      <c r="E323" s="105"/>
      <c r="T323" s="105" t="s">
        <v>576</v>
      </c>
      <c r="U323" s="108" t="s">
        <v>613</v>
      </c>
      <c r="V323" s="107">
        <v>28.5</v>
      </c>
    </row>
    <row r="324" spans="1:22">
      <c r="A324" s="117" t="s">
        <v>312</v>
      </c>
      <c r="B324" s="59">
        <f>+B323+1</f>
        <v>316</v>
      </c>
      <c r="C324" s="102">
        <v>3.4</v>
      </c>
      <c r="D324" s="92" t="str">
        <f>+A324</f>
        <v>GLUCOSE</v>
      </c>
      <c r="E324" s="105"/>
      <c r="T324" s="105" t="s">
        <v>543</v>
      </c>
      <c r="U324" s="108" t="s">
        <v>614</v>
      </c>
      <c r="V324" s="107">
        <v>8.5</v>
      </c>
    </row>
    <row r="325" spans="1:22">
      <c r="A325" s="118" t="s">
        <v>315</v>
      </c>
      <c r="B325" s="59">
        <f>+B324+1</f>
        <v>317</v>
      </c>
      <c r="C325" s="102">
        <v>11.9</v>
      </c>
      <c r="D325" s="92" t="str">
        <f>+A325</f>
        <v>hCG </v>
      </c>
      <c r="E325" s="105"/>
      <c r="T325" s="105" t="s">
        <v>544</v>
      </c>
      <c r="U325" s="108" t="s">
        <v>615</v>
      </c>
      <c r="V325" s="107">
        <v>12.3</v>
      </c>
    </row>
    <row r="326" spans="1:22">
      <c r="A326" s="119" t="s">
        <v>318</v>
      </c>
      <c r="B326" s="59">
        <f>+B325+1</f>
        <v>318</v>
      </c>
      <c r="C326" s="102">
        <v>7.6</v>
      </c>
      <c r="D326" s="92" t="str">
        <f>+A326</f>
        <v>HDL CHOLESTEROL</v>
      </c>
      <c r="E326" s="120"/>
      <c r="T326" s="120" t="s">
        <v>548</v>
      </c>
      <c r="U326" s="108" t="s">
        <v>616</v>
      </c>
      <c r="V326" s="107">
        <v>12.5</v>
      </c>
    </row>
    <row r="327" spans="1:22">
      <c r="A327" s="119" t="s">
        <v>321</v>
      </c>
      <c r="B327" s="59">
        <f>+B326+1</f>
        <v>319</v>
      </c>
      <c r="C327" s="102">
        <v>5.9</v>
      </c>
      <c r="D327" s="92" t="str">
        <f>+A327</f>
        <v>IRON</v>
      </c>
      <c r="E327" s="110"/>
      <c r="T327" s="110" t="s">
        <v>370</v>
      </c>
      <c r="U327" s="108" t="s">
        <v>371</v>
      </c>
      <c r="V327" s="107">
        <v>10.2</v>
      </c>
    </row>
    <row r="328" spans="1:22">
      <c r="A328" s="119" t="s">
        <v>326</v>
      </c>
      <c r="B328" s="59">
        <f>+B327+1</f>
        <v>320</v>
      </c>
      <c r="C328" s="102">
        <v>4.5</v>
      </c>
      <c r="D328" s="92" t="str">
        <f>+A328</f>
        <v>LDH</v>
      </c>
      <c r="E328" s="121"/>
      <c r="T328" s="110" t="s">
        <v>555</v>
      </c>
      <c r="U328" s="111" t="s">
        <v>617</v>
      </c>
      <c r="V328" s="107">
        <v>4.3</v>
      </c>
    </row>
    <row r="329" spans="1:22">
      <c r="A329" s="119" t="s">
        <v>329</v>
      </c>
      <c r="B329" s="59">
        <f>+B328+1</f>
        <v>321</v>
      </c>
      <c r="C329" s="102">
        <v>6.7</v>
      </c>
      <c r="D329" s="92" t="str">
        <f>+A329</f>
        <v>LH</v>
      </c>
      <c r="E329" s="121"/>
      <c r="T329" s="110" t="s">
        <v>557</v>
      </c>
      <c r="U329" s="111" t="s">
        <v>618</v>
      </c>
      <c r="V329" s="107">
        <v>2.1</v>
      </c>
    </row>
    <row r="330" spans="1:22">
      <c r="A330" s="117" t="s">
        <v>332</v>
      </c>
      <c r="B330" s="59">
        <f>+B329+1</f>
        <v>322</v>
      </c>
      <c r="C330" s="102">
        <v>4.4</v>
      </c>
      <c r="D330" s="92" t="str">
        <f>+A330</f>
        <v>MAGNESIUM</v>
      </c>
      <c r="E330" s="121"/>
      <c r="T330" s="110" t="s">
        <v>559</v>
      </c>
      <c r="U330" s="111" t="s">
        <v>619</v>
      </c>
      <c r="V330" s="107">
        <v>2.1</v>
      </c>
    </row>
    <row r="331" spans="1:22">
      <c r="A331" s="117" t="s">
        <v>335</v>
      </c>
      <c r="B331" s="59">
        <f>+B330+1</f>
        <v>323</v>
      </c>
      <c r="C331" s="102">
        <v>6.7</v>
      </c>
      <c r="D331" s="92" t="str">
        <f>+A331</f>
        <v>OESTRADIOL</v>
      </c>
      <c r="E331" s="105"/>
      <c r="T331" s="105" t="s">
        <v>561</v>
      </c>
      <c r="U331" s="108" t="s">
        <v>620</v>
      </c>
      <c r="V331" s="107">
        <v>5.9</v>
      </c>
    </row>
    <row r="332" spans="1:22">
      <c r="A332" s="117" t="s">
        <v>338</v>
      </c>
      <c r="B332" s="59">
        <f>+B331+1</f>
        <v>324</v>
      </c>
      <c r="C332" s="102">
        <v>6.7</v>
      </c>
      <c r="D332" s="92" t="str">
        <f>+A332</f>
        <v>PARACETAMOL</v>
      </c>
      <c r="E332" s="105"/>
      <c r="T332" s="105" t="s">
        <v>563</v>
      </c>
      <c r="U332" s="108" t="s">
        <v>621</v>
      </c>
      <c r="V332" s="107">
        <v>5</v>
      </c>
    </row>
    <row r="333" spans="1:22">
      <c r="A333" s="117" t="s">
        <v>341</v>
      </c>
      <c r="B333" s="59">
        <f>+B332+1</f>
        <v>325</v>
      </c>
      <c r="C333" s="102">
        <v>9.7</v>
      </c>
      <c r="D333" s="92" t="str">
        <f>+A333</f>
        <v>PHENOBARBITONE</v>
      </c>
      <c r="E333" s="105"/>
      <c r="T333" s="105" t="s">
        <v>567</v>
      </c>
      <c r="U333" s="108" t="s">
        <v>622</v>
      </c>
      <c r="V333" s="107">
        <v>13.1</v>
      </c>
    </row>
    <row r="334" spans="1:22">
      <c r="A334" s="119" t="s">
        <v>344</v>
      </c>
      <c r="B334" s="59">
        <f>+B333+1</f>
        <v>326</v>
      </c>
      <c r="C334" s="102">
        <v>9.7</v>
      </c>
      <c r="D334" s="92" t="str">
        <f>+A334</f>
        <v>PHENYTOIN</v>
      </c>
      <c r="E334" s="105"/>
      <c r="T334" s="105" t="s">
        <v>570</v>
      </c>
      <c r="U334" s="108" t="s">
        <v>623</v>
      </c>
      <c r="V334" s="107">
        <v>26.1</v>
      </c>
    </row>
    <row r="335" spans="1:22">
      <c r="A335" s="117" t="s">
        <v>347</v>
      </c>
      <c r="B335" s="59">
        <f>+B334+1</f>
        <v>327</v>
      </c>
      <c r="C335" s="102">
        <v>3.4</v>
      </c>
      <c r="D335" s="92" t="str">
        <f>+A335</f>
        <v>PHOSPHATE</v>
      </c>
      <c r="E335" s="110"/>
      <c r="T335" s="110" t="s">
        <v>572</v>
      </c>
      <c r="U335" s="109"/>
      <c r="V335" s="107">
        <v>27.2</v>
      </c>
    </row>
    <row r="336" spans="1:22">
      <c r="A336" s="117" t="s">
        <v>350</v>
      </c>
      <c r="B336" s="59">
        <f>+B335+1</f>
        <v>328</v>
      </c>
      <c r="C336" s="102">
        <v>8.7</v>
      </c>
      <c r="D336" s="92" t="str">
        <f>+A336</f>
        <v>PROGESTERONE</v>
      </c>
      <c r="E336" s="105"/>
      <c r="T336" s="105" t="s">
        <v>574</v>
      </c>
      <c r="U336" s="108" t="s">
        <v>624</v>
      </c>
      <c r="V336" s="107">
        <v>24.2</v>
      </c>
    </row>
    <row r="337" spans="1:22">
      <c r="A337" s="117" t="s">
        <v>353</v>
      </c>
      <c r="B337" s="59">
        <f>+B336+1</f>
        <v>329</v>
      </c>
      <c r="C337" s="102">
        <v>6.7</v>
      </c>
      <c r="D337" s="92" t="str">
        <f>+A337</f>
        <v>PROLACTIN</v>
      </c>
      <c r="E337" s="105"/>
      <c r="T337" s="105" t="s">
        <v>625</v>
      </c>
      <c r="U337" s="111" t="s">
        <v>626</v>
      </c>
      <c r="V337" s="107">
        <v>30.3</v>
      </c>
    </row>
    <row r="338" spans="1:22">
      <c r="A338" s="117" t="s">
        <v>356</v>
      </c>
      <c r="B338" s="59">
        <f>+B337+1</f>
        <v>330</v>
      </c>
      <c r="C338" s="102">
        <v>9.7</v>
      </c>
      <c r="D338" s="92" t="str">
        <f>+A338</f>
        <v>PSA</v>
      </c>
      <c r="E338" s="105"/>
      <c r="T338" s="105" t="s">
        <v>579</v>
      </c>
      <c r="U338" s="108" t="s">
        <v>627</v>
      </c>
      <c r="V338" s="107">
        <v>13.1</v>
      </c>
    </row>
    <row r="339" spans="1:22">
      <c r="A339" s="117" t="s">
        <v>358</v>
      </c>
      <c r="B339" s="59">
        <f>+B338+1</f>
        <v>331</v>
      </c>
      <c r="C339" s="102">
        <v>5.7</v>
      </c>
      <c r="D339" s="92" t="str">
        <f>+A339</f>
        <v>SALICYLATE</v>
      </c>
      <c r="E339" s="105"/>
      <c r="T339" s="105" t="s">
        <v>583</v>
      </c>
      <c r="U339" s="111" t="s">
        <v>628</v>
      </c>
      <c r="V339" s="107">
        <v>60.1</v>
      </c>
    </row>
    <row r="340" spans="1:22">
      <c r="A340" s="117" t="s">
        <v>361</v>
      </c>
      <c r="B340" s="59">
        <f>+B339+1</f>
        <v>332</v>
      </c>
      <c r="C340" s="102">
        <v>9.7</v>
      </c>
      <c r="D340" s="92" t="str">
        <f>+A340</f>
        <v>THEOPHYLLINE</v>
      </c>
      <c r="E340" s="105"/>
      <c r="T340" s="105" t="s">
        <v>585</v>
      </c>
      <c r="U340" s="111" t="s">
        <v>629</v>
      </c>
      <c r="V340" s="107">
        <v>27.5</v>
      </c>
    </row>
    <row r="341" spans="1:22">
      <c r="A341" s="117" t="s">
        <v>364</v>
      </c>
      <c r="B341" s="59">
        <f>+B340+1</f>
        <v>333</v>
      </c>
      <c r="C341" s="102">
        <v>8.5</v>
      </c>
      <c r="D341" s="92" t="str">
        <f>+A341</f>
        <v>TRANSFERRIN</v>
      </c>
      <c r="E341" s="105"/>
      <c r="T341" s="105" t="s">
        <v>394</v>
      </c>
      <c r="U341" s="111" t="s">
        <v>488</v>
      </c>
      <c r="V341" s="107">
        <v>24.1</v>
      </c>
    </row>
    <row r="342" spans="1:22">
      <c r="A342" s="117" t="s">
        <v>367</v>
      </c>
      <c r="B342" s="59">
        <f>+B341+1</f>
        <v>334</v>
      </c>
      <c r="C342" s="102">
        <v>3.4</v>
      </c>
      <c r="D342" s="92" t="str">
        <f>+A342</f>
        <v>TRIGLYCERIDES</v>
      </c>
      <c r="E342" s="105"/>
      <c r="T342" s="105" t="s">
        <v>587</v>
      </c>
      <c r="U342" s="108" t="s">
        <v>630</v>
      </c>
      <c r="V342" s="107">
        <v>60.1</v>
      </c>
    </row>
    <row r="343" spans="1:22">
      <c r="A343" s="117" t="s">
        <v>370</v>
      </c>
      <c r="B343" s="59">
        <f>+B342+1</f>
        <v>335</v>
      </c>
      <c r="C343" s="102">
        <v>10.2</v>
      </c>
      <c r="D343" s="92" t="str">
        <f>+A343</f>
        <v>TROPONIN - I</v>
      </c>
      <c r="E343" s="105"/>
      <c r="T343" s="105" t="s">
        <v>631</v>
      </c>
      <c r="U343" s="108" t="s">
        <v>632</v>
      </c>
      <c r="V343" s="107">
        <v>26.3</v>
      </c>
    </row>
    <row r="344" spans="1:22">
      <c r="A344" s="117" t="s">
        <v>372</v>
      </c>
      <c r="B344" s="59">
        <f>+B343+1</f>
        <v>336</v>
      </c>
      <c r="C344" s="102">
        <v>5</v>
      </c>
      <c r="D344" s="92" t="str">
        <f>+A344</f>
        <v>TSH</v>
      </c>
      <c r="E344" s="105"/>
      <c r="T344" s="105" t="s">
        <v>633</v>
      </c>
      <c r="U344" s="111" t="s">
        <v>634</v>
      </c>
      <c r="V344" s="107">
        <v>26.3</v>
      </c>
    </row>
    <row r="345" spans="1:22">
      <c r="A345" s="117" t="s">
        <v>375</v>
      </c>
      <c r="B345" s="59">
        <f>+B344+1</f>
        <v>337</v>
      </c>
      <c r="C345" s="102">
        <v>5</v>
      </c>
      <c r="D345" s="92" t="str">
        <f>+A345</f>
        <v>URATE</v>
      </c>
      <c r="E345" s="105"/>
      <c r="T345" s="105" t="s">
        <v>635</v>
      </c>
      <c r="U345" s="108" t="s">
        <v>636</v>
      </c>
      <c r="V345" s="107">
        <v>26.3</v>
      </c>
    </row>
    <row r="346" spans="1:22">
      <c r="A346" s="117" t="s">
        <v>378</v>
      </c>
      <c r="B346" s="59">
        <f>+B345+1</f>
        <v>338</v>
      </c>
      <c r="C346" s="102">
        <v>9.7</v>
      </c>
      <c r="D346" s="92" t="str">
        <f>+A346</f>
        <v>VALPROATE</v>
      </c>
      <c r="E346" s="105"/>
      <c r="T346" s="105" t="s">
        <v>637</v>
      </c>
      <c r="U346" s="111" t="s">
        <v>638</v>
      </c>
      <c r="V346" s="107">
        <v>26.3</v>
      </c>
    </row>
    <row r="347" spans="1:22">
      <c r="A347" s="117" t="s">
        <v>381</v>
      </c>
      <c r="B347" s="59">
        <f>+B346+1</f>
        <v>339</v>
      </c>
      <c r="C347" s="102">
        <v>9.2</v>
      </c>
      <c r="D347" s="92" t="str">
        <f>+A347</f>
        <v>VITAMIN B 12</v>
      </c>
      <c r="E347" s="105"/>
      <c r="T347" s="105" t="s">
        <v>639</v>
      </c>
      <c r="U347" s="108" t="s">
        <v>640</v>
      </c>
      <c r="V347" s="107">
        <v>26.3</v>
      </c>
    </row>
    <row r="348" spans="1:22" ht="13">
      <c r="A348" s="122" t="s">
        <v>641</v>
      </c>
      <c r="B348" s="59">
        <f>+B347+1</f>
        <v>340</v>
      </c>
      <c r="C348" s="102"/>
      <c r="D348" s="92" t="str">
        <f>+A348</f>
        <v>Trace Elements</v>
      </c>
      <c r="E348" s="105"/>
      <c r="T348" s="105" t="s">
        <v>642</v>
      </c>
      <c r="U348" s="108" t="s">
        <v>643</v>
      </c>
      <c r="V348" s="107">
        <v>26.3</v>
      </c>
    </row>
    <row r="349" spans="1:22">
      <c r="A349" s="123" t="s">
        <v>631</v>
      </c>
      <c r="B349" s="59">
        <f>+B348+1</f>
        <v>341</v>
      </c>
      <c r="C349" s="102">
        <v>26.3</v>
      </c>
      <c r="D349" s="92" t="str">
        <f>+A349</f>
        <v>ALUMINIUM (OTHER)</v>
      </c>
      <c r="E349" s="105"/>
      <c r="T349" s="105"/>
      <c r="U349" s="111"/>
      <c r="V349" s="107"/>
    </row>
    <row r="350" spans="1:22">
      <c r="A350" s="123" t="s">
        <v>633</v>
      </c>
      <c r="B350" s="59">
        <f>+B349+1</f>
        <v>342</v>
      </c>
      <c r="C350" s="102">
        <v>26.3</v>
      </c>
      <c r="D350" s="92" t="str">
        <f>+A350</f>
        <v>ALUMINIUM (PLASMA)</v>
      </c>
      <c r="E350" s="105"/>
      <c r="T350" s="105"/>
      <c r="U350" s="111"/>
      <c r="V350" s="107"/>
    </row>
    <row r="351" spans="1:22">
      <c r="A351" s="123" t="s">
        <v>635</v>
      </c>
      <c r="B351" s="59">
        <f>+B350+1</f>
        <v>343</v>
      </c>
      <c r="C351" s="102">
        <v>26.3</v>
      </c>
      <c r="D351" s="92" t="str">
        <f>+A351</f>
        <v>ALUMINIUM (URINE)</v>
      </c>
      <c r="E351" s="105"/>
      <c r="T351" s="105"/>
      <c r="U351" s="111"/>
      <c r="V351" s="107"/>
    </row>
    <row r="352" spans="1:22">
      <c r="A352" s="123" t="s">
        <v>637</v>
      </c>
      <c r="B352" s="59">
        <f>+B351+1</f>
        <v>344</v>
      </c>
      <c r="C352" s="102">
        <v>26.3</v>
      </c>
      <c r="D352" s="92" t="str">
        <f>+A352</f>
        <v>ANTIMONY (BLOOD)</v>
      </c>
      <c r="E352" s="105"/>
      <c r="T352" s="105"/>
      <c r="U352" s="111"/>
      <c r="V352" s="107"/>
    </row>
    <row r="353" spans="1:22">
      <c r="A353" s="123" t="s">
        <v>639</v>
      </c>
      <c r="B353" s="59">
        <f>+B352+1</f>
        <v>345</v>
      </c>
      <c r="C353" s="102">
        <v>26.3</v>
      </c>
      <c r="D353" s="92" t="str">
        <f>+A353</f>
        <v>ANTIMONY (not reported)</v>
      </c>
      <c r="E353" s="105"/>
      <c r="T353" s="105"/>
      <c r="U353" s="111"/>
      <c r="V353" s="107"/>
    </row>
    <row r="354" spans="1:22">
      <c r="A354" s="123" t="s">
        <v>642</v>
      </c>
      <c r="B354" s="59">
        <f>+B353+1</f>
        <v>346</v>
      </c>
      <c r="C354" s="102">
        <v>26.3</v>
      </c>
      <c r="D354" s="92" t="str">
        <f>+A354</f>
        <v>ANTIMONY (OTHER)</v>
      </c>
      <c r="E354" s="105"/>
      <c r="T354" s="105"/>
      <c r="U354" s="111"/>
      <c r="V354" s="107"/>
    </row>
    <row r="355" spans="1:22">
      <c r="A355" s="123" t="s">
        <v>644</v>
      </c>
      <c r="B355" s="59">
        <f>+B354+1</f>
        <v>347</v>
      </c>
      <c r="C355" s="102">
        <v>26.3</v>
      </c>
      <c r="D355" s="92" t="str">
        <f>+A355</f>
        <v>ANTIMONY (PLASMA)</v>
      </c>
      <c r="E355" s="105"/>
      <c r="T355" s="105"/>
      <c r="U355" s="111"/>
      <c r="V355" s="107"/>
    </row>
    <row r="356" spans="1:22">
      <c r="A356" s="123" t="s">
        <v>645</v>
      </c>
      <c r="B356" s="59">
        <f>+B355+1</f>
        <v>348</v>
      </c>
      <c r="C356" s="102">
        <v>26.3</v>
      </c>
      <c r="D356" s="92" t="str">
        <f>+A356</f>
        <v>ANTIMONY (URINE)</v>
      </c>
      <c r="E356" s="105"/>
      <c r="T356" s="105"/>
      <c r="U356" s="111"/>
      <c r="V356" s="107"/>
    </row>
    <row r="357" spans="1:22">
      <c r="A357" s="123" t="s">
        <v>646</v>
      </c>
      <c r="B357" s="59">
        <f>+B356+1</f>
        <v>349</v>
      </c>
      <c r="C357" s="102">
        <v>26.3</v>
      </c>
      <c r="D357" s="92" t="str">
        <f>+A357</f>
        <v>ARSENIC (BLOOD)</v>
      </c>
      <c r="E357" s="105"/>
      <c r="T357" s="105"/>
      <c r="U357" s="111"/>
      <c r="V357" s="107"/>
    </row>
    <row r="358" spans="1:22">
      <c r="A358" s="123" t="s">
        <v>647</v>
      </c>
      <c r="B358" s="59">
        <f>+B357+1</f>
        <v>350</v>
      </c>
      <c r="C358" s="102">
        <v>26.3</v>
      </c>
      <c r="D358" s="92" t="str">
        <f>+A358</f>
        <v>ARSENIC (OTHER)</v>
      </c>
      <c r="E358" s="105"/>
      <c r="T358" s="105"/>
      <c r="U358" s="111"/>
      <c r="V358" s="107"/>
    </row>
    <row r="359" spans="1:22">
      <c r="A359" s="123" t="s">
        <v>648</v>
      </c>
      <c r="B359" s="59">
        <f>+B358+1</f>
        <v>351</v>
      </c>
      <c r="C359" s="102">
        <v>26.3</v>
      </c>
      <c r="D359" s="92" t="str">
        <f>+A359</f>
        <v>ARSENIC (URINE)</v>
      </c>
      <c r="E359" s="105"/>
      <c r="T359" s="105"/>
      <c r="U359" s="111"/>
      <c r="V359" s="107"/>
    </row>
    <row r="360" spans="1:22">
      <c r="A360" s="123" t="s">
        <v>649</v>
      </c>
      <c r="B360" s="59">
        <f>+B359+1</f>
        <v>352</v>
      </c>
      <c r="C360" s="102">
        <v>26.3</v>
      </c>
      <c r="D360" s="92" t="str">
        <f>+A360</f>
        <v>BARIUM (OTHER)</v>
      </c>
      <c r="E360" s="105"/>
      <c r="T360" s="105" t="s">
        <v>645</v>
      </c>
      <c r="U360" s="111" t="s">
        <v>650</v>
      </c>
      <c r="V360" s="107">
        <v>26.3</v>
      </c>
    </row>
    <row r="361" spans="1:22">
      <c r="A361" s="123" t="s">
        <v>651</v>
      </c>
      <c r="B361" s="59">
        <f>+B360+1</f>
        <v>353</v>
      </c>
      <c r="C361" s="102">
        <v>26.3</v>
      </c>
      <c r="D361" s="92" t="str">
        <f>+A361</f>
        <v>BARIUM (PLASMA)</v>
      </c>
      <c r="E361" s="105"/>
      <c r="T361" s="105" t="s">
        <v>646</v>
      </c>
      <c r="U361" s="111" t="s">
        <v>652</v>
      </c>
      <c r="V361" s="107">
        <v>26.3</v>
      </c>
    </row>
    <row r="362" spans="1:22">
      <c r="A362" s="123" t="s">
        <v>653</v>
      </c>
      <c r="B362" s="59">
        <f>+B361+1</f>
        <v>354</v>
      </c>
      <c r="C362" s="102">
        <v>26.3</v>
      </c>
      <c r="D362" s="92" t="str">
        <f>+A362</f>
        <v>BARIUM (URINE)</v>
      </c>
      <c r="E362" s="105"/>
      <c r="T362" s="105" t="s">
        <v>647</v>
      </c>
      <c r="U362" s="108" t="s">
        <v>654</v>
      </c>
      <c r="V362" s="107">
        <v>26.3</v>
      </c>
    </row>
    <row r="363" spans="1:22">
      <c r="A363" s="123" t="s">
        <v>655</v>
      </c>
      <c r="B363" s="59">
        <f>+B362+1</f>
        <v>355</v>
      </c>
      <c r="C363" s="102">
        <v>26.3</v>
      </c>
      <c r="D363" s="92" t="str">
        <f>+A363</f>
        <v>BERYLLIUM (OTHER)</v>
      </c>
      <c r="E363" s="105"/>
      <c r="T363" s="105" t="s">
        <v>648</v>
      </c>
      <c r="U363" s="108" t="s">
        <v>656</v>
      </c>
      <c r="V363" s="107">
        <v>26.3</v>
      </c>
    </row>
    <row r="364" spans="1:22">
      <c r="A364" s="123" t="s">
        <v>657</v>
      </c>
      <c r="B364" s="59">
        <f>+B363+1</f>
        <v>356</v>
      </c>
      <c r="C364" s="102">
        <v>26.3</v>
      </c>
      <c r="D364" s="92" t="str">
        <f>+A364</f>
        <v>BERYLLIUM (PLASMA)</v>
      </c>
      <c r="E364" s="105"/>
      <c r="T364" s="105" t="s">
        <v>649</v>
      </c>
      <c r="U364" s="108" t="s">
        <v>658</v>
      </c>
      <c r="V364" s="107">
        <v>26.3</v>
      </c>
    </row>
    <row r="365" spans="1:22">
      <c r="A365" s="123" t="s">
        <v>659</v>
      </c>
      <c r="B365" s="59">
        <f>+B364+1</f>
        <v>357</v>
      </c>
      <c r="C365" s="102">
        <v>26.3</v>
      </c>
      <c r="D365" s="92" t="str">
        <f>+A365</f>
        <v>BERYLLIUM (URINE)</v>
      </c>
      <c r="E365" s="105"/>
      <c r="T365" s="105" t="s">
        <v>651</v>
      </c>
      <c r="U365" s="111" t="s">
        <v>660</v>
      </c>
      <c r="V365" s="107">
        <v>26.3</v>
      </c>
    </row>
    <row r="366" spans="1:22">
      <c r="A366" s="123" t="s">
        <v>661</v>
      </c>
      <c r="B366" s="59">
        <f>+B365+1</f>
        <v>358</v>
      </c>
      <c r="C366" s="102">
        <v>26.3</v>
      </c>
      <c r="D366" s="92" t="str">
        <f>+A366</f>
        <v>BISMUTH (BLOOD)</v>
      </c>
      <c r="E366" s="105"/>
      <c r="T366" s="105" t="s">
        <v>653</v>
      </c>
      <c r="U366" s="111" t="s">
        <v>662</v>
      </c>
      <c r="V366" s="107">
        <v>26.3</v>
      </c>
    </row>
    <row r="367" spans="1:22">
      <c r="A367" s="123" t="s">
        <v>663</v>
      </c>
      <c r="B367" s="59">
        <f>+B366+1</f>
        <v>359</v>
      </c>
      <c r="C367" s="102">
        <v>26.3</v>
      </c>
      <c r="D367" s="92" t="str">
        <f>+A367</f>
        <v>BISMUTH (OTHER)</v>
      </c>
      <c r="E367" s="105"/>
      <c r="T367" s="105" t="s">
        <v>655</v>
      </c>
      <c r="U367" s="108" t="s">
        <v>664</v>
      </c>
      <c r="V367" s="107">
        <v>26.3</v>
      </c>
    </row>
    <row r="368" spans="1:22">
      <c r="A368" s="123" t="s">
        <v>665</v>
      </c>
      <c r="B368" s="59">
        <f>+B367+1</f>
        <v>360</v>
      </c>
      <c r="C368" s="102">
        <v>26.3</v>
      </c>
      <c r="D368" s="92" t="str">
        <f>+A368</f>
        <v>BISMUTH (URINE)</v>
      </c>
      <c r="E368" s="105"/>
      <c r="T368" s="105" t="s">
        <v>657</v>
      </c>
      <c r="U368" s="108" t="s">
        <v>666</v>
      </c>
      <c r="V368" s="107">
        <v>26.3</v>
      </c>
    </row>
    <row r="369" spans="1:22">
      <c r="A369" s="123" t="s">
        <v>667</v>
      </c>
      <c r="B369" s="59">
        <f>+B368+1</f>
        <v>361</v>
      </c>
      <c r="C369" s="102">
        <v>26.3</v>
      </c>
      <c r="D369" s="92" t="str">
        <f>+A369</f>
        <v>BORON  (PLASMA)</v>
      </c>
      <c r="E369" s="105"/>
      <c r="T369" s="105" t="s">
        <v>659</v>
      </c>
      <c r="U369" s="108" t="s">
        <v>668</v>
      </c>
      <c r="V369" s="107">
        <v>26.3</v>
      </c>
    </row>
    <row r="370" spans="1:22">
      <c r="A370" s="123" t="s">
        <v>669</v>
      </c>
      <c r="B370" s="59">
        <f>+B369+1</f>
        <v>362</v>
      </c>
      <c r="C370" s="102">
        <v>26.3</v>
      </c>
      <c r="D370" s="92" t="str">
        <f>+A370</f>
        <v>BORON (URINE)</v>
      </c>
      <c r="E370" s="105"/>
      <c r="T370" s="105" t="s">
        <v>661</v>
      </c>
      <c r="U370" s="111" t="s">
        <v>670</v>
      </c>
      <c r="V370" s="107">
        <v>26.3</v>
      </c>
    </row>
    <row r="371" spans="1:22">
      <c r="A371" s="123" t="s">
        <v>671</v>
      </c>
      <c r="B371" s="59">
        <f>+B370+1</f>
        <v>363</v>
      </c>
      <c r="C371" s="102">
        <v>17.5</v>
      </c>
      <c r="D371" s="92" t="str">
        <f>+A371</f>
        <v>CADMIUM (BLOOD)</v>
      </c>
      <c r="E371" s="105"/>
      <c r="T371" s="105" t="s">
        <v>663</v>
      </c>
      <c r="U371" s="108" t="s">
        <v>672</v>
      </c>
      <c r="V371" s="107">
        <v>26.3</v>
      </c>
    </row>
    <row r="372" spans="1:22">
      <c r="A372" s="123" t="s">
        <v>673</v>
      </c>
      <c r="B372" s="59">
        <f>+B371+1</f>
        <v>364</v>
      </c>
      <c r="C372" s="102">
        <v>17.5</v>
      </c>
      <c r="D372" s="92" t="str">
        <f>+A372</f>
        <v>CADMIUM (none reportable)</v>
      </c>
      <c r="E372" s="105"/>
      <c r="T372" s="105" t="s">
        <v>665</v>
      </c>
      <c r="U372" s="108" t="s">
        <v>674</v>
      </c>
      <c r="V372" s="107">
        <v>26.3</v>
      </c>
    </row>
    <row r="373" spans="1:22">
      <c r="A373" s="123" t="s">
        <v>675</v>
      </c>
      <c r="B373" s="59">
        <f>+B372+1</f>
        <v>365</v>
      </c>
      <c r="C373" s="102">
        <v>17.5</v>
      </c>
      <c r="D373" s="92" t="str">
        <f>+A373</f>
        <v>CADMIUM (OTHER)</v>
      </c>
      <c r="E373" s="105"/>
      <c r="T373" s="105" t="s">
        <v>667</v>
      </c>
      <c r="U373" s="108" t="s">
        <v>676</v>
      </c>
      <c r="V373" s="107">
        <v>26.3</v>
      </c>
    </row>
    <row r="374" spans="1:22">
      <c r="A374" s="124" t="s">
        <v>677</v>
      </c>
      <c r="B374" s="59">
        <f>+B373+1</f>
        <v>366</v>
      </c>
      <c r="C374" s="102">
        <v>17.5</v>
      </c>
      <c r="D374" s="92" t="str">
        <f>+A374</f>
        <v>CADMIUM (URINE)</v>
      </c>
      <c r="E374" s="105"/>
      <c r="T374" s="105" t="s">
        <v>669</v>
      </c>
      <c r="U374" s="108" t="s">
        <v>678</v>
      </c>
      <c r="V374" s="107">
        <v>26.3</v>
      </c>
    </row>
    <row r="375" spans="1:22">
      <c r="A375" s="123" t="s">
        <v>679</v>
      </c>
      <c r="B375" s="59">
        <f>+B374+1</f>
        <v>367</v>
      </c>
      <c r="C375" s="102">
        <v>21.1</v>
      </c>
      <c r="D375" s="92" t="str">
        <f>+A375</f>
        <v>CHROMIUM (BLOOD)</v>
      </c>
      <c r="E375" s="105"/>
      <c r="T375" s="105" t="s">
        <v>671</v>
      </c>
      <c r="U375" s="108" t="s">
        <v>680</v>
      </c>
      <c r="V375" s="107">
        <v>17.5</v>
      </c>
    </row>
    <row r="376" spans="1:22">
      <c r="A376" s="123" t="s">
        <v>681</v>
      </c>
      <c r="B376" s="59">
        <f>+B375+1</f>
        <v>368</v>
      </c>
      <c r="C376" s="102">
        <v>21.1</v>
      </c>
      <c r="D376" s="92" t="str">
        <f>+A376</f>
        <v>CHROMIUM (non report)</v>
      </c>
      <c r="E376" s="105"/>
      <c r="T376" s="105" t="s">
        <v>673</v>
      </c>
      <c r="U376" s="108" t="s">
        <v>682</v>
      </c>
      <c r="V376" s="107">
        <v>17.5</v>
      </c>
    </row>
    <row r="377" spans="1:22">
      <c r="A377" s="123" t="s">
        <v>683</v>
      </c>
      <c r="B377" s="59">
        <f>+B376+1</f>
        <v>369</v>
      </c>
      <c r="C377" s="102">
        <v>21.1</v>
      </c>
      <c r="D377" s="92" t="str">
        <f>+A377</f>
        <v>CHROMIUM (OTHER)</v>
      </c>
      <c r="E377" s="105"/>
      <c r="T377" s="105" t="s">
        <v>675</v>
      </c>
      <c r="U377" s="108" t="s">
        <v>684</v>
      </c>
      <c r="V377" s="107">
        <v>17.5</v>
      </c>
    </row>
    <row r="378" spans="1:22">
      <c r="A378" s="123" t="s">
        <v>685</v>
      </c>
      <c r="B378" s="59">
        <f>+B377+1</f>
        <v>370</v>
      </c>
      <c r="C378" s="102">
        <v>21.1</v>
      </c>
      <c r="D378" s="92" t="str">
        <f>+A378</f>
        <v>CHROMIUM (PLASMA)</v>
      </c>
      <c r="E378" s="125"/>
      <c r="T378" s="125" t="s">
        <v>677</v>
      </c>
      <c r="U378" s="108" t="s">
        <v>686</v>
      </c>
      <c r="V378" s="107">
        <v>17.5</v>
      </c>
    </row>
    <row r="379" spans="1:22">
      <c r="A379" s="123" t="s">
        <v>687</v>
      </c>
      <c r="B379" s="59">
        <f>+B378+1</f>
        <v>371</v>
      </c>
      <c r="C379" s="102">
        <v>21.1</v>
      </c>
      <c r="D379" s="92" t="str">
        <f>+A379</f>
        <v>CHROMIUM (URINE)</v>
      </c>
      <c r="E379" s="105"/>
      <c r="T379" s="105" t="s">
        <v>679</v>
      </c>
      <c r="U379" s="108" t="s">
        <v>688</v>
      </c>
      <c r="V379" s="107">
        <v>21.1</v>
      </c>
    </row>
    <row r="380" spans="1:22">
      <c r="A380" s="123" t="s">
        <v>689</v>
      </c>
      <c r="B380" s="59">
        <f>+B379+1</f>
        <v>372</v>
      </c>
      <c r="C380" s="102">
        <v>21.1</v>
      </c>
      <c r="D380" s="92" t="str">
        <f>+A380</f>
        <v>COBALT (BLOOD)</v>
      </c>
      <c r="E380" s="105"/>
      <c r="T380" s="105" t="s">
        <v>681</v>
      </c>
      <c r="U380" s="108" t="s">
        <v>690</v>
      </c>
      <c r="V380" s="107">
        <v>21.1</v>
      </c>
    </row>
    <row r="381" spans="1:22">
      <c r="A381" s="123" t="s">
        <v>691</v>
      </c>
      <c r="B381" s="59">
        <f>+B380+1</f>
        <v>373</v>
      </c>
      <c r="C381" s="102">
        <v>21.1</v>
      </c>
      <c r="D381" s="92" t="str">
        <f>+A381</f>
        <v>COBALT (OTHER)</v>
      </c>
      <c r="E381" s="105"/>
      <c r="T381" s="105" t="s">
        <v>683</v>
      </c>
      <c r="U381" s="108" t="s">
        <v>692</v>
      </c>
      <c r="V381" s="107">
        <v>21.1</v>
      </c>
    </row>
    <row r="382" spans="1:22">
      <c r="A382" s="123" t="s">
        <v>693</v>
      </c>
      <c r="B382" s="59">
        <f>+B381+1</f>
        <v>374</v>
      </c>
      <c r="C382" s="102">
        <v>21.1</v>
      </c>
      <c r="D382" s="92" t="str">
        <f>+A382</f>
        <v>COBALT (PLASMA)</v>
      </c>
      <c r="E382" s="105"/>
      <c r="T382" s="105" t="s">
        <v>685</v>
      </c>
      <c r="U382" s="111" t="s">
        <v>694</v>
      </c>
      <c r="V382" s="107">
        <v>21.1</v>
      </c>
    </row>
    <row r="383" spans="1:22">
      <c r="A383" s="123" t="s">
        <v>695</v>
      </c>
      <c r="B383" s="59">
        <f>+B382+1</f>
        <v>375</v>
      </c>
      <c r="C383" s="102">
        <v>21.1</v>
      </c>
      <c r="D383" s="92" t="str">
        <f>+A383</f>
        <v>COBALT (URINE)</v>
      </c>
      <c r="E383" s="105"/>
      <c r="T383" s="105" t="s">
        <v>687</v>
      </c>
      <c r="U383" s="108" t="s">
        <v>696</v>
      </c>
      <c r="V383" s="107">
        <v>21.1</v>
      </c>
    </row>
    <row r="384" spans="1:22">
      <c r="A384" s="123" t="s">
        <v>697</v>
      </c>
      <c r="B384" s="59">
        <f>+B383+1</f>
        <v>376</v>
      </c>
      <c r="C384" s="102">
        <v>17.5</v>
      </c>
      <c r="D384" s="92" t="str">
        <f>+A384</f>
        <v>COPPER</v>
      </c>
      <c r="E384" s="105"/>
      <c r="T384" s="105" t="s">
        <v>698</v>
      </c>
      <c r="U384" s="108" t="s">
        <v>699</v>
      </c>
      <c r="V384" s="107">
        <v>21.1</v>
      </c>
    </row>
    <row r="385" spans="1:22">
      <c r="A385" s="123" t="s">
        <v>700</v>
      </c>
      <c r="B385" s="59">
        <f>+B384+1</f>
        <v>377</v>
      </c>
      <c r="C385" s="102">
        <v>17.5</v>
      </c>
      <c r="D385" s="92" t="str">
        <f>+A385</f>
        <v>COPPER (24 HOUR URINE)</v>
      </c>
      <c r="E385" s="105"/>
      <c r="T385" s="105" t="s">
        <v>691</v>
      </c>
      <c r="U385" s="108" t="s">
        <v>701</v>
      </c>
      <c r="V385" s="107">
        <v>21.1</v>
      </c>
    </row>
    <row r="386" spans="1:22">
      <c r="A386" s="123" t="s">
        <v>702</v>
      </c>
      <c r="B386" s="59">
        <f>+B385+1</f>
        <v>378</v>
      </c>
      <c r="C386" s="102">
        <v>52.4</v>
      </c>
      <c r="D386" s="92" t="str">
        <f>+A386</f>
        <v>COPPER (LIVER)</v>
      </c>
      <c r="E386" s="105"/>
      <c r="T386" s="105" t="s">
        <v>693</v>
      </c>
      <c r="U386" s="108" t="s">
        <v>703</v>
      </c>
      <c r="V386" s="107">
        <v>21.1</v>
      </c>
    </row>
    <row r="387" spans="1:22">
      <c r="A387" s="123" t="s">
        <v>704</v>
      </c>
      <c r="B387" s="59">
        <f>+B386+1</f>
        <v>379</v>
      </c>
      <c r="C387" s="102">
        <v>17.5</v>
      </c>
      <c r="D387" s="92" t="str">
        <f>+A387</f>
        <v>COPPER (OTHER)</v>
      </c>
      <c r="E387" s="105"/>
      <c r="T387" s="105" t="s">
        <v>695</v>
      </c>
      <c r="U387" s="108" t="s">
        <v>705</v>
      </c>
      <c r="V387" s="107">
        <v>21.1</v>
      </c>
    </row>
    <row r="388" spans="1:22">
      <c r="A388" s="123" t="s">
        <v>706</v>
      </c>
      <c r="B388" s="59">
        <f>+B387+1</f>
        <v>380</v>
      </c>
      <c r="C388" s="102">
        <v>17.5</v>
      </c>
      <c r="D388" s="92" t="str">
        <f>+A388</f>
        <v>COPPER (PLASMA)</v>
      </c>
      <c r="E388" s="105"/>
      <c r="T388" s="105" t="s">
        <v>697</v>
      </c>
      <c r="U388" s="111" t="s">
        <v>707</v>
      </c>
      <c r="V388" s="107">
        <v>17.5</v>
      </c>
    </row>
    <row r="389" spans="1:22">
      <c r="A389" s="123" t="s">
        <v>708</v>
      </c>
      <c r="B389" s="59">
        <f>+B388+1</f>
        <v>381</v>
      </c>
      <c r="C389" s="102">
        <v>17.5</v>
      </c>
      <c r="D389" s="92" t="str">
        <f>+A389</f>
        <v>COPPER (URINE)</v>
      </c>
      <c r="E389" s="105"/>
      <c r="T389" s="105" t="s">
        <v>700</v>
      </c>
      <c r="U389" s="111" t="s">
        <v>709</v>
      </c>
      <c r="V389" s="107">
        <v>17.5</v>
      </c>
    </row>
    <row r="390" spans="1:22">
      <c r="A390" s="123" t="s">
        <v>710</v>
      </c>
      <c r="B390" s="59">
        <f>+B389+1</f>
        <v>382</v>
      </c>
      <c r="C390" s="102">
        <v>26.3</v>
      </c>
      <c r="D390" s="92" t="str">
        <f>+A390</f>
        <v>GOLD (OTHER)</v>
      </c>
      <c r="E390" s="105"/>
      <c r="T390" s="105" t="s">
        <v>702</v>
      </c>
      <c r="U390" s="108" t="s">
        <v>711</v>
      </c>
      <c r="V390" s="107">
        <v>52.4</v>
      </c>
    </row>
    <row r="391" spans="1:22">
      <c r="A391" s="123" t="s">
        <v>712</v>
      </c>
      <c r="B391" s="59">
        <f>+B390+1</f>
        <v>383</v>
      </c>
      <c r="C391" s="102">
        <v>26.3</v>
      </c>
      <c r="D391" s="92" t="str">
        <f>+A391</f>
        <v>GOLD (PLASMA)</v>
      </c>
      <c r="E391" s="105"/>
      <c r="T391" s="105" t="s">
        <v>704</v>
      </c>
      <c r="U391" s="108" t="s">
        <v>713</v>
      </c>
      <c r="V391" s="107">
        <v>17.5</v>
      </c>
    </row>
    <row r="392" spans="1:22">
      <c r="A392" s="123" t="s">
        <v>714</v>
      </c>
      <c r="B392" s="59">
        <f>+B391+1</f>
        <v>384</v>
      </c>
      <c r="C392" s="102">
        <v>26.3</v>
      </c>
      <c r="D392" s="92" t="str">
        <f>+A392</f>
        <v>GOLD (URINE)</v>
      </c>
      <c r="E392" s="105"/>
      <c r="T392" s="105" t="s">
        <v>706</v>
      </c>
      <c r="U392" s="111" t="s">
        <v>715</v>
      </c>
      <c r="V392" s="107">
        <v>17.5</v>
      </c>
    </row>
    <row r="393" spans="1:22">
      <c r="A393" s="123" t="s">
        <v>716</v>
      </c>
      <c r="B393" s="59">
        <f>+B392+1</f>
        <v>385</v>
      </c>
      <c r="C393" s="102">
        <v>26.3</v>
      </c>
      <c r="D393" s="92" t="str">
        <f>+A393</f>
        <v>IODINE</v>
      </c>
      <c r="E393" s="105"/>
      <c r="T393" s="105" t="s">
        <v>708</v>
      </c>
      <c r="U393" s="111" t="s">
        <v>717</v>
      </c>
      <c r="V393" s="107">
        <v>17.5</v>
      </c>
    </row>
    <row r="394" spans="1:22">
      <c r="A394" s="123" t="s">
        <v>718</v>
      </c>
      <c r="B394" s="59">
        <f>+B393+1</f>
        <v>386</v>
      </c>
      <c r="C394" s="102">
        <v>26.3</v>
      </c>
      <c r="D394" s="92" t="str">
        <f>+A394</f>
        <v>IODINE (PLASMA)</v>
      </c>
      <c r="E394" s="105"/>
      <c r="T394" s="105" t="s">
        <v>710</v>
      </c>
      <c r="U394" s="108" t="s">
        <v>719</v>
      </c>
      <c r="V394" s="107">
        <v>26.3</v>
      </c>
    </row>
    <row r="395" spans="1:22">
      <c r="A395" s="123" t="s">
        <v>720</v>
      </c>
      <c r="B395" s="59">
        <f>+B394+1</f>
        <v>387</v>
      </c>
      <c r="C395" s="102">
        <v>52.4</v>
      </c>
      <c r="D395" s="92" t="str">
        <f>+A395</f>
        <v>IRON (LIVER)</v>
      </c>
      <c r="E395" s="105"/>
      <c r="T395" s="105" t="s">
        <v>712</v>
      </c>
      <c r="U395" s="108" t="s">
        <v>721</v>
      </c>
      <c r="V395" s="107">
        <v>26.3</v>
      </c>
    </row>
    <row r="396" spans="1:22">
      <c r="A396" s="123" t="s">
        <v>722</v>
      </c>
      <c r="B396" s="59">
        <f>+B395+1</f>
        <v>388</v>
      </c>
      <c r="C396" s="102">
        <v>26.3</v>
      </c>
      <c r="D396" s="92" t="str">
        <f>+A396</f>
        <v>IRON (OTHER)</v>
      </c>
      <c r="E396" s="105"/>
      <c r="T396" s="105" t="s">
        <v>714</v>
      </c>
      <c r="U396" s="108" t="s">
        <v>723</v>
      </c>
      <c r="V396" s="107">
        <v>26.3</v>
      </c>
    </row>
    <row r="397" spans="1:22">
      <c r="A397" s="123" t="s">
        <v>724</v>
      </c>
      <c r="B397" s="59">
        <f>+B396+1</f>
        <v>389</v>
      </c>
      <c r="C397" s="102">
        <v>26.3</v>
      </c>
      <c r="D397" s="92" t="str">
        <f>+A397</f>
        <v>IRON (URINE)</v>
      </c>
      <c r="E397" s="105"/>
      <c r="T397" s="105" t="s">
        <v>716</v>
      </c>
      <c r="U397" s="111" t="s">
        <v>725</v>
      </c>
      <c r="V397" s="107">
        <v>26.3</v>
      </c>
    </row>
    <row r="398" spans="1:22">
      <c r="A398" s="123" t="s">
        <v>726</v>
      </c>
      <c r="B398" s="59">
        <f>+B397+1</f>
        <v>390</v>
      </c>
      <c r="C398" s="102">
        <v>17.5</v>
      </c>
      <c r="D398" s="92" t="str">
        <f>+A398</f>
        <v>LEAD (BLOOD)</v>
      </c>
      <c r="E398" s="105"/>
      <c r="T398" s="105" t="s">
        <v>718</v>
      </c>
      <c r="U398" s="111" t="s">
        <v>41</v>
      </c>
      <c r="V398" s="107">
        <v>26.3</v>
      </c>
    </row>
    <row r="399" spans="1:22">
      <c r="A399" s="123" t="s">
        <v>727</v>
      </c>
      <c r="B399" s="59">
        <f>+B398+1</f>
        <v>391</v>
      </c>
      <c r="C399" s="102">
        <v>17.5</v>
      </c>
      <c r="D399" s="92" t="str">
        <f>+A399</f>
        <v>LEAD (non reportable)</v>
      </c>
      <c r="E399" s="105"/>
      <c r="T399" s="105" t="s">
        <v>720</v>
      </c>
      <c r="U399" s="108" t="s">
        <v>728</v>
      </c>
      <c r="V399" s="107">
        <v>52.4</v>
      </c>
    </row>
    <row r="400" spans="1:22">
      <c r="A400" s="123" t="s">
        <v>729</v>
      </c>
      <c r="B400" s="59">
        <f>+B399+1</f>
        <v>392</v>
      </c>
      <c r="C400" s="102">
        <v>17.5</v>
      </c>
      <c r="D400" s="92" t="str">
        <f>+A400</f>
        <v>LEAD (OTHER)</v>
      </c>
      <c r="E400" s="105"/>
      <c r="T400" s="105" t="s">
        <v>722</v>
      </c>
      <c r="U400" s="108" t="s">
        <v>730</v>
      </c>
      <c r="V400" s="107">
        <v>26.3</v>
      </c>
    </row>
    <row r="401" spans="1:22">
      <c r="A401" s="123" t="s">
        <v>731</v>
      </c>
      <c r="B401" s="59">
        <f>+B400+1</f>
        <v>393</v>
      </c>
      <c r="C401" s="102">
        <v>17.5</v>
      </c>
      <c r="D401" s="92" t="str">
        <f>+A401</f>
        <v>LEAD (URINE)</v>
      </c>
      <c r="E401" s="105"/>
      <c r="T401" s="105" t="s">
        <v>724</v>
      </c>
      <c r="U401" s="111" t="s">
        <v>732</v>
      </c>
      <c r="V401" s="107">
        <v>26.3</v>
      </c>
    </row>
    <row r="402" spans="1:22">
      <c r="A402" s="123" t="s">
        <v>733</v>
      </c>
      <c r="B402" s="59">
        <f>+B401+1</f>
        <v>394</v>
      </c>
      <c r="C402" s="102">
        <v>31.4</v>
      </c>
      <c r="D402" s="92" t="str">
        <f>+A402</f>
        <v>MANGANESE (BLOOD)</v>
      </c>
      <c r="E402" s="105"/>
      <c r="T402" s="105" t="s">
        <v>726</v>
      </c>
      <c r="U402" s="111" t="s">
        <v>734</v>
      </c>
      <c r="V402" s="107">
        <v>17.5</v>
      </c>
    </row>
    <row r="403" spans="1:22">
      <c r="A403" s="123" t="s">
        <v>735</v>
      </c>
      <c r="B403" s="59">
        <f>+B402+1</f>
        <v>395</v>
      </c>
      <c r="C403" s="102">
        <v>31.4</v>
      </c>
      <c r="D403" s="92" t="str">
        <f>+A403</f>
        <v>MANGANESE (OTHER)</v>
      </c>
      <c r="E403" s="105"/>
      <c r="T403" s="105" t="s">
        <v>727</v>
      </c>
      <c r="U403" s="108" t="s">
        <v>736</v>
      </c>
      <c r="V403" s="107">
        <v>17.5</v>
      </c>
    </row>
    <row r="404" spans="1:22">
      <c r="A404" s="123" t="s">
        <v>737</v>
      </c>
      <c r="B404" s="59">
        <f>+B403+1</f>
        <v>396</v>
      </c>
      <c r="C404" s="102">
        <v>31.4</v>
      </c>
      <c r="D404" s="92" t="str">
        <f>+A404</f>
        <v>MANGANESE (URINE)</v>
      </c>
      <c r="E404" s="105"/>
      <c r="T404" s="105" t="s">
        <v>729</v>
      </c>
      <c r="U404" s="108" t="s">
        <v>738</v>
      </c>
      <c r="V404" s="107">
        <v>17.5</v>
      </c>
    </row>
    <row r="405" spans="1:22">
      <c r="A405" s="123" t="s">
        <v>739</v>
      </c>
      <c r="B405" s="59">
        <f>+B404+1</f>
        <v>397</v>
      </c>
      <c r="C405" s="102">
        <v>26.3</v>
      </c>
      <c r="D405" s="92" t="str">
        <f>+A405</f>
        <v>MERCURY (BLOOD)</v>
      </c>
      <c r="E405" s="105"/>
      <c r="T405" s="105" t="s">
        <v>731</v>
      </c>
      <c r="U405" s="111" t="s">
        <v>740</v>
      </c>
      <c r="V405" s="107">
        <v>17.5</v>
      </c>
    </row>
    <row r="406" spans="1:22">
      <c r="A406" s="123" t="s">
        <v>741</v>
      </c>
      <c r="B406" s="59">
        <f>+B405+1</f>
        <v>398</v>
      </c>
      <c r="C406" s="102">
        <v>26.3</v>
      </c>
      <c r="D406" s="92" t="str">
        <f>+A406</f>
        <v>MERCURY (OTHER)</v>
      </c>
      <c r="E406" s="105"/>
      <c r="T406" s="105" t="s">
        <v>733</v>
      </c>
      <c r="U406" s="111" t="s">
        <v>742</v>
      </c>
      <c r="V406" s="107">
        <v>31.4</v>
      </c>
    </row>
    <row r="407" spans="1:22">
      <c r="A407" s="123" t="s">
        <v>743</v>
      </c>
      <c r="B407" s="59">
        <f>+B406+1</f>
        <v>399</v>
      </c>
      <c r="C407" s="102">
        <v>26.3</v>
      </c>
      <c r="D407" s="92" t="str">
        <f>+A407</f>
        <v>MERCURY (URINE)</v>
      </c>
      <c r="E407" s="105"/>
      <c r="T407" s="105" t="s">
        <v>735</v>
      </c>
      <c r="U407" s="108" t="s">
        <v>744</v>
      </c>
      <c r="V407" s="107">
        <v>31.4</v>
      </c>
    </row>
    <row r="408" spans="1:22">
      <c r="A408" s="123" t="s">
        <v>745</v>
      </c>
      <c r="B408" s="59">
        <f>+B407+1</f>
        <v>400</v>
      </c>
      <c r="C408" s="102">
        <v>26.3</v>
      </c>
      <c r="D408" s="92" t="str">
        <f>+A408</f>
        <v>MOLYBDENUM (BLOOD)</v>
      </c>
      <c r="E408" s="105"/>
      <c r="T408" s="105" t="s">
        <v>737</v>
      </c>
      <c r="U408" s="108" t="s">
        <v>746</v>
      </c>
      <c r="V408" s="107">
        <v>31.4</v>
      </c>
    </row>
    <row r="409" spans="1:22">
      <c r="A409" s="123" t="s">
        <v>747</v>
      </c>
      <c r="B409" s="59">
        <f>+B408+1</f>
        <v>401</v>
      </c>
      <c r="C409" s="102">
        <v>26.3</v>
      </c>
      <c r="D409" s="92" t="str">
        <f>+A409</f>
        <v>MOLYBDENUM (OTHER)</v>
      </c>
      <c r="E409" s="105"/>
      <c r="T409" s="105" t="s">
        <v>739</v>
      </c>
      <c r="U409" s="108" t="s">
        <v>748</v>
      </c>
      <c r="V409" s="107">
        <v>26.3</v>
      </c>
    </row>
    <row r="410" spans="1:22">
      <c r="A410" s="123" t="s">
        <v>749</v>
      </c>
      <c r="B410" s="59">
        <f>+B409+1</f>
        <v>402</v>
      </c>
      <c r="C410" s="102">
        <v>26.3</v>
      </c>
      <c r="D410" s="92" t="str">
        <f>+A410</f>
        <v>MOLYBDENUM (PLASMA)</v>
      </c>
      <c r="E410" s="105"/>
      <c r="T410" s="105" t="s">
        <v>741</v>
      </c>
      <c r="U410" s="108" t="s">
        <v>750</v>
      </c>
      <c r="V410" s="107">
        <v>26.3</v>
      </c>
    </row>
    <row r="411" spans="1:22">
      <c r="A411" s="123" t="s">
        <v>751</v>
      </c>
      <c r="B411" s="59">
        <f>+B410+1</f>
        <v>403</v>
      </c>
      <c r="C411" s="102">
        <v>26.3</v>
      </c>
      <c r="D411" s="92" t="str">
        <f>+A411</f>
        <v>MOLYBDENUM (URINE)</v>
      </c>
      <c r="E411" s="105"/>
      <c r="T411" s="105" t="s">
        <v>743</v>
      </c>
      <c r="U411" s="108" t="s">
        <v>752</v>
      </c>
      <c r="V411" s="107">
        <v>26.3</v>
      </c>
    </row>
    <row r="412" spans="1:22">
      <c r="A412" s="126" t="s">
        <v>753</v>
      </c>
      <c r="B412" s="59">
        <f>+B411+1</f>
        <v>404</v>
      </c>
      <c r="C412" s="102">
        <v>26.3</v>
      </c>
      <c r="D412" s="92" t="str">
        <f>+A412</f>
        <v>NICKEL (OTHER)</v>
      </c>
      <c r="E412" s="105"/>
      <c r="T412" s="105" t="s">
        <v>754</v>
      </c>
      <c r="U412" s="108" t="s">
        <v>755</v>
      </c>
      <c r="V412" s="107">
        <v>26.3</v>
      </c>
    </row>
    <row r="413" spans="1:22">
      <c r="A413" s="123" t="s">
        <v>756</v>
      </c>
      <c r="B413" s="59">
        <f>+B412+1</f>
        <v>405</v>
      </c>
      <c r="C413" s="102">
        <v>26.3</v>
      </c>
      <c r="D413" s="92" t="str">
        <f>+A413</f>
        <v>NICKEL (PLASMA)</v>
      </c>
      <c r="E413" s="105"/>
      <c r="T413" s="105" t="s">
        <v>747</v>
      </c>
      <c r="U413" s="108" t="s">
        <v>757</v>
      </c>
      <c r="V413" s="107">
        <v>26.3</v>
      </c>
    </row>
    <row r="414" spans="1:22">
      <c r="A414" s="123" t="s">
        <v>758</v>
      </c>
      <c r="B414" s="59">
        <f>+B413+1</f>
        <v>406</v>
      </c>
      <c r="C414" s="102">
        <v>26.3</v>
      </c>
      <c r="D414" s="92" t="str">
        <f>+A414</f>
        <v>NICKEL (URINE)</v>
      </c>
      <c r="E414" s="105"/>
      <c r="T414" s="105" t="s">
        <v>749</v>
      </c>
      <c r="U414" s="108" t="s">
        <v>759</v>
      </c>
      <c r="V414" s="107">
        <v>26.3</v>
      </c>
    </row>
    <row r="415" spans="1:22">
      <c r="A415" s="123" t="s">
        <v>760</v>
      </c>
      <c r="B415" s="59">
        <f>+B414+1</f>
        <v>407</v>
      </c>
      <c r="C415" s="102">
        <v>26.3</v>
      </c>
      <c r="D415" s="92" t="str">
        <f>+A415</f>
        <v>PLATINUM (BLOOD)</v>
      </c>
      <c r="E415" s="105"/>
      <c r="T415" s="105" t="s">
        <v>751</v>
      </c>
      <c r="U415" s="108" t="s">
        <v>761</v>
      </c>
      <c r="V415" s="107">
        <v>26.3</v>
      </c>
    </row>
    <row r="416" spans="1:22">
      <c r="A416" s="123" t="s">
        <v>762</v>
      </c>
      <c r="B416" s="59">
        <f>+B415+1</f>
        <v>408</v>
      </c>
      <c r="C416" s="102">
        <v>26.3</v>
      </c>
      <c r="D416" s="92" t="str">
        <f>+A416</f>
        <v>PLATINUM (OTHER)</v>
      </c>
      <c r="E416" s="110"/>
      <c r="T416" s="110" t="s">
        <v>753</v>
      </c>
      <c r="U416" s="127" t="s">
        <v>763</v>
      </c>
      <c r="V416" s="107">
        <v>26.3</v>
      </c>
    </row>
    <row r="417" spans="1:22">
      <c r="A417" s="123" t="s">
        <v>764</v>
      </c>
      <c r="B417" s="59">
        <f>+B416+1</f>
        <v>409</v>
      </c>
      <c r="C417" s="102">
        <v>26.3</v>
      </c>
      <c r="D417" s="92" t="str">
        <f>+A417</f>
        <v>PLATINUM (URINE)</v>
      </c>
      <c r="E417" s="105"/>
      <c r="T417" s="105" t="s">
        <v>756</v>
      </c>
      <c r="U417" s="111" t="s">
        <v>765</v>
      </c>
      <c r="V417" s="107">
        <v>26.3</v>
      </c>
    </row>
    <row r="418" spans="1:22">
      <c r="A418" s="123" t="s">
        <v>766</v>
      </c>
      <c r="B418" s="59">
        <f>+B417+1</f>
        <v>410</v>
      </c>
      <c r="C418" s="102">
        <v>26.3</v>
      </c>
      <c r="D418" s="92" t="str">
        <f>+A418</f>
        <v>SELENIUM</v>
      </c>
      <c r="E418" s="105"/>
      <c r="T418" s="105" t="s">
        <v>758</v>
      </c>
      <c r="U418" s="111" t="s">
        <v>767</v>
      </c>
      <c r="V418" s="107">
        <v>26.3</v>
      </c>
    </row>
    <row r="419" spans="1:22">
      <c r="A419" s="123" t="s">
        <v>768</v>
      </c>
      <c r="B419" s="59">
        <f>+B418+1</f>
        <v>411</v>
      </c>
      <c r="C419" s="102">
        <v>26.3</v>
      </c>
      <c r="D419" s="92" t="str">
        <f>+A419</f>
        <v>SELENIUM  (PLASMA)</v>
      </c>
      <c r="E419" s="105"/>
      <c r="T419" s="105" t="s">
        <v>760</v>
      </c>
      <c r="U419" s="108" t="s">
        <v>769</v>
      </c>
      <c r="V419" s="107">
        <v>26.3</v>
      </c>
    </row>
    <row r="420" spans="1:22">
      <c r="A420" s="123" t="s">
        <v>770</v>
      </c>
      <c r="B420" s="59">
        <f>+B419+1</f>
        <v>412</v>
      </c>
      <c r="C420" s="102">
        <v>26.3</v>
      </c>
      <c r="D420" s="92" t="str">
        <f>+A420</f>
        <v>SELENIUM (OTHER)</v>
      </c>
      <c r="E420" s="105"/>
      <c r="T420" s="105" t="s">
        <v>762</v>
      </c>
      <c r="U420" s="108" t="s">
        <v>771</v>
      </c>
      <c r="V420" s="107">
        <v>26.3</v>
      </c>
    </row>
    <row r="421" spans="1:22">
      <c r="A421" s="123" t="s">
        <v>772</v>
      </c>
      <c r="B421" s="59">
        <f>+B420+1</f>
        <v>413</v>
      </c>
      <c r="C421" s="102">
        <v>26.3</v>
      </c>
      <c r="D421" s="92" t="str">
        <f>+A421</f>
        <v>SELENIUM (URINE)</v>
      </c>
      <c r="E421" s="105"/>
      <c r="T421" s="105" t="s">
        <v>764</v>
      </c>
      <c r="U421" s="108" t="s">
        <v>773</v>
      </c>
      <c r="V421" s="107">
        <v>26.3</v>
      </c>
    </row>
    <row r="422" spans="1:22">
      <c r="A422" s="123" t="s">
        <v>774</v>
      </c>
      <c r="B422" s="59">
        <f>+B421+1</f>
        <v>414</v>
      </c>
      <c r="C422" s="102">
        <v>41.7</v>
      </c>
      <c r="D422" s="92" t="str">
        <f>+A422</f>
        <v>SILICON (OTHER)</v>
      </c>
      <c r="E422" s="105"/>
      <c r="T422" s="105" t="s">
        <v>766</v>
      </c>
      <c r="U422" s="108" t="s">
        <v>775</v>
      </c>
      <c r="V422" s="107">
        <v>26.3</v>
      </c>
    </row>
    <row r="423" spans="1:22">
      <c r="A423" s="123" t="s">
        <v>776</v>
      </c>
      <c r="B423" s="59">
        <f>+B422+1</f>
        <v>415</v>
      </c>
      <c r="C423" s="102">
        <v>41.7</v>
      </c>
      <c r="D423" s="92" t="str">
        <f>+A423</f>
        <v>SILICON (PLASMA)</v>
      </c>
      <c r="E423" s="105"/>
      <c r="T423" s="105" t="s">
        <v>768</v>
      </c>
      <c r="U423" s="108" t="s">
        <v>777</v>
      </c>
      <c r="V423" s="107">
        <v>26.3</v>
      </c>
    </row>
    <row r="424" spans="1:22">
      <c r="A424" s="123" t="s">
        <v>778</v>
      </c>
      <c r="B424" s="59">
        <f>+B423+1</f>
        <v>416</v>
      </c>
      <c r="C424" s="102">
        <v>41.7</v>
      </c>
      <c r="D424" s="92" t="str">
        <f>+A424</f>
        <v>SILICON (URINE)</v>
      </c>
      <c r="E424" s="105"/>
      <c r="T424" s="105" t="s">
        <v>770</v>
      </c>
      <c r="U424" s="108" t="s">
        <v>779</v>
      </c>
      <c r="V424" s="107">
        <v>26.3</v>
      </c>
    </row>
    <row r="425" spans="1:22">
      <c r="A425" s="123" t="s">
        <v>780</v>
      </c>
      <c r="B425" s="59">
        <f>+B424+1</f>
        <v>417</v>
      </c>
      <c r="C425" s="102">
        <v>26.3</v>
      </c>
      <c r="D425" s="92" t="str">
        <f>+A425</f>
        <v>SILVER </v>
      </c>
      <c r="E425" s="105"/>
      <c r="T425" s="105" t="s">
        <v>772</v>
      </c>
      <c r="U425" s="108" t="s">
        <v>781</v>
      </c>
      <c r="V425" s="107">
        <v>26.3</v>
      </c>
    </row>
    <row r="426" spans="1:22">
      <c r="A426" s="123" t="s">
        <v>782</v>
      </c>
      <c r="B426" s="59">
        <f>+B425+1</f>
        <v>418</v>
      </c>
      <c r="C426" s="102">
        <v>26.3</v>
      </c>
      <c r="D426" s="92" t="str">
        <f>+A426</f>
        <v>SILVER (BLOOD)</v>
      </c>
      <c r="E426" s="105"/>
      <c r="T426" s="105" t="s">
        <v>774</v>
      </c>
      <c r="U426" s="108" t="s">
        <v>783</v>
      </c>
      <c r="V426" s="107">
        <v>41.7</v>
      </c>
    </row>
    <row r="427" spans="1:22">
      <c r="A427" s="123" t="s">
        <v>784</v>
      </c>
      <c r="B427" s="59">
        <f>+B426+1</f>
        <v>419</v>
      </c>
      <c r="C427" s="102">
        <v>26.3</v>
      </c>
      <c r="D427" s="92" t="str">
        <f>+A427</f>
        <v>SILVER (OTHER)</v>
      </c>
      <c r="E427" s="105"/>
      <c r="T427" s="105" t="s">
        <v>776</v>
      </c>
      <c r="U427" s="108" t="s">
        <v>785</v>
      </c>
      <c r="V427" s="107">
        <v>41.7</v>
      </c>
    </row>
    <row r="428" spans="1:22">
      <c r="A428" s="123" t="s">
        <v>786</v>
      </c>
      <c r="B428" s="59">
        <f>+B427+1</f>
        <v>420</v>
      </c>
      <c r="C428" s="102">
        <v>26.3</v>
      </c>
      <c r="D428" s="92" t="str">
        <f>+A428</f>
        <v>SILVER (URINE)</v>
      </c>
      <c r="E428" s="105"/>
      <c r="T428" s="105" t="s">
        <v>778</v>
      </c>
      <c r="U428" s="108" t="s">
        <v>787</v>
      </c>
      <c r="V428" s="107">
        <v>41.7</v>
      </c>
    </row>
    <row r="429" spans="1:22">
      <c r="A429" s="123" t="s">
        <v>788</v>
      </c>
      <c r="B429" s="59">
        <f>+B428+1</f>
        <v>421</v>
      </c>
      <c r="C429" s="102">
        <v>26.3</v>
      </c>
      <c r="D429" s="92" t="str">
        <f>+A429</f>
        <v>STRONTIUM (OTHER)</v>
      </c>
      <c r="E429" s="105"/>
      <c r="T429" s="105" t="s">
        <v>780</v>
      </c>
      <c r="U429" s="108" t="s">
        <v>789</v>
      </c>
      <c r="V429" s="107">
        <v>26.3</v>
      </c>
    </row>
    <row r="430" spans="1:22">
      <c r="A430" s="123" t="s">
        <v>790</v>
      </c>
      <c r="B430" s="59">
        <f>+B429+1</f>
        <v>422</v>
      </c>
      <c r="C430" s="102">
        <v>26.3</v>
      </c>
      <c r="D430" s="92" t="str">
        <f>+A430</f>
        <v>STRONTIUM (PLASMA)</v>
      </c>
      <c r="E430" s="105"/>
      <c r="T430" s="105" t="s">
        <v>782</v>
      </c>
      <c r="U430" s="108" t="s">
        <v>791</v>
      </c>
      <c r="V430" s="107">
        <v>26.3</v>
      </c>
    </row>
    <row r="431" spans="1:22">
      <c r="A431" s="123" t="s">
        <v>792</v>
      </c>
      <c r="B431" s="59">
        <f>+B430+1</f>
        <v>423</v>
      </c>
      <c r="C431" s="102">
        <v>26.3</v>
      </c>
      <c r="D431" s="92" t="str">
        <f>+A431</f>
        <v>STRONTIUM (URINE)</v>
      </c>
      <c r="E431" s="105"/>
      <c r="T431" s="105" t="s">
        <v>784</v>
      </c>
      <c r="U431" s="108" t="s">
        <v>793</v>
      </c>
      <c r="V431" s="107">
        <v>26.3</v>
      </c>
    </row>
    <row r="432" spans="1:22">
      <c r="A432" s="123" t="s">
        <v>794</v>
      </c>
      <c r="B432" s="59">
        <f>+B431+1</f>
        <v>424</v>
      </c>
      <c r="C432" s="102">
        <v>26.3</v>
      </c>
      <c r="D432" s="92" t="str">
        <f>+A432</f>
        <v>TELLURIUM (BLOOD)</v>
      </c>
      <c r="E432" s="105"/>
      <c r="T432" s="105" t="s">
        <v>786</v>
      </c>
      <c r="U432" s="108" t="s">
        <v>795</v>
      </c>
      <c r="V432" s="107">
        <v>26.3</v>
      </c>
    </row>
    <row r="433" spans="1:22">
      <c r="A433" s="123" t="s">
        <v>796</v>
      </c>
      <c r="B433" s="59">
        <f>+B432+1</f>
        <v>425</v>
      </c>
      <c r="C433" s="102">
        <v>26.3</v>
      </c>
      <c r="D433" s="92" t="str">
        <f>+A433</f>
        <v>TELLURIUM (OTHER)</v>
      </c>
      <c r="E433" s="105"/>
      <c r="T433" s="105" t="s">
        <v>788</v>
      </c>
      <c r="U433" s="108" t="s">
        <v>797</v>
      </c>
      <c r="V433" s="107">
        <v>26.3</v>
      </c>
    </row>
    <row r="434" spans="1:22">
      <c r="A434" s="123" t="s">
        <v>798</v>
      </c>
      <c r="B434" s="59">
        <f>+B433+1</f>
        <v>426</v>
      </c>
      <c r="C434" s="102">
        <v>26.3</v>
      </c>
      <c r="D434" s="92" t="str">
        <f>+A434</f>
        <v>TELLURIUM (PLASMA)</v>
      </c>
      <c r="E434" s="105"/>
      <c r="T434" s="105" t="s">
        <v>790</v>
      </c>
      <c r="U434" s="108" t="s">
        <v>799</v>
      </c>
      <c r="V434" s="107">
        <v>26.3</v>
      </c>
    </row>
    <row r="435" spans="1:22">
      <c r="A435" s="123" t="s">
        <v>800</v>
      </c>
      <c r="B435" s="59">
        <f>+B434+1</f>
        <v>427</v>
      </c>
      <c r="C435" s="102">
        <v>26.3</v>
      </c>
      <c r="D435" s="92" t="str">
        <f>+A435</f>
        <v>TELLURIUM (URINE)</v>
      </c>
      <c r="E435" s="105"/>
      <c r="T435" s="105" t="s">
        <v>792</v>
      </c>
      <c r="U435" s="108" t="s">
        <v>801</v>
      </c>
      <c r="V435" s="107">
        <v>26.3</v>
      </c>
    </row>
    <row r="436" spans="1:22">
      <c r="A436" s="123" t="s">
        <v>802</v>
      </c>
      <c r="B436" s="59">
        <f>+B435+1</f>
        <v>428</v>
      </c>
      <c r="C436" s="102">
        <v>26.3</v>
      </c>
      <c r="D436" s="92" t="str">
        <f>+A436</f>
        <v>THALLIUM (BLOOD)</v>
      </c>
      <c r="E436" s="105"/>
      <c r="T436" s="105" t="s">
        <v>794</v>
      </c>
      <c r="U436" s="108" t="s">
        <v>803</v>
      </c>
      <c r="V436" s="107">
        <v>26.3</v>
      </c>
    </row>
    <row r="437" spans="1:22">
      <c r="A437" s="123" t="s">
        <v>804</v>
      </c>
      <c r="B437" s="59">
        <f>+B436+1</f>
        <v>429</v>
      </c>
      <c r="C437" s="102">
        <v>26.3</v>
      </c>
      <c r="D437" s="92" t="str">
        <f>+A437</f>
        <v>THALLIUM (URINE)</v>
      </c>
      <c r="E437" s="105"/>
      <c r="T437" s="105" t="s">
        <v>796</v>
      </c>
      <c r="U437" s="108" t="s">
        <v>805</v>
      </c>
      <c r="V437" s="107">
        <v>26.3</v>
      </c>
    </row>
    <row r="438" spans="1:22">
      <c r="A438" s="123" t="s">
        <v>806</v>
      </c>
      <c r="B438" s="59">
        <f>+B437+1</f>
        <v>430</v>
      </c>
      <c r="C438" s="102">
        <v>26.3</v>
      </c>
      <c r="D438" s="92" t="str">
        <f>+A438</f>
        <v>TIN (BLOOD)</v>
      </c>
      <c r="E438" s="105"/>
      <c r="T438" s="105" t="s">
        <v>798</v>
      </c>
      <c r="U438" s="108" t="s">
        <v>807</v>
      </c>
      <c r="V438" s="107">
        <v>26.3</v>
      </c>
    </row>
    <row r="439" spans="1:22">
      <c r="A439" s="123" t="s">
        <v>808</v>
      </c>
      <c r="B439" s="59">
        <f>+B438+1</f>
        <v>431</v>
      </c>
      <c r="C439" s="102">
        <v>26.3</v>
      </c>
      <c r="D439" s="92" t="str">
        <f>+A439</f>
        <v>TIN (OTHER)</v>
      </c>
      <c r="E439" s="105"/>
      <c r="T439" s="105" t="s">
        <v>800</v>
      </c>
      <c r="U439" s="108" t="s">
        <v>809</v>
      </c>
      <c r="V439" s="107">
        <v>26.3</v>
      </c>
    </row>
    <row r="440" spans="1:22">
      <c r="A440" s="123" t="s">
        <v>810</v>
      </c>
      <c r="B440" s="59">
        <f>+B439+1</f>
        <v>432</v>
      </c>
      <c r="C440" s="102">
        <v>26.3</v>
      </c>
      <c r="D440" s="92" t="str">
        <f>+A440</f>
        <v>TIN (PLASMA)</v>
      </c>
      <c r="E440" s="105"/>
      <c r="T440" s="105" t="s">
        <v>802</v>
      </c>
      <c r="U440" s="108" t="s">
        <v>811</v>
      </c>
      <c r="V440" s="107">
        <v>26.3</v>
      </c>
    </row>
    <row r="441" spans="1:22">
      <c r="A441" s="123" t="s">
        <v>812</v>
      </c>
      <c r="B441" s="59">
        <f>+B440+1</f>
        <v>433</v>
      </c>
      <c r="C441" s="102">
        <v>26.3</v>
      </c>
      <c r="D441" s="92" t="str">
        <f>+A441</f>
        <v>TIN (URINE)</v>
      </c>
      <c r="E441" s="105"/>
      <c r="T441" s="105" t="s">
        <v>804</v>
      </c>
      <c r="U441" s="108" t="s">
        <v>813</v>
      </c>
      <c r="V441" s="107">
        <v>26.3</v>
      </c>
    </row>
    <row r="442" spans="1:22">
      <c r="A442" s="123" t="s">
        <v>814</v>
      </c>
      <c r="B442" s="59">
        <f>+B441+1</f>
        <v>434</v>
      </c>
      <c r="C442" s="102">
        <v>57.7</v>
      </c>
      <c r="D442" s="92" t="str">
        <f>+A442</f>
        <v>TITANIUM (OTHER)</v>
      </c>
      <c r="E442" s="105"/>
      <c r="T442" s="105" t="s">
        <v>806</v>
      </c>
      <c r="U442" s="108" t="s">
        <v>815</v>
      </c>
      <c r="V442" s="107">
        <v>26.3</v>
      </c>
    </row>
    <row r="443" spans="1:22">
      <c r="A443" s="123" t="s">
        <v>816</v>
      </c>
      <c r="B443" s="59">
        <f>+B442+1</f>
        <v>435</v>
      </c>
      <c r="C443" s="102">
        <v>57.7</v>
      </c>
      <c r="D443" s="92" t="str">
        <f>+A443</f>
        <v>TITANIUM (PLASMA)</v>
      </c>
      <c r="E443" s="105"/>
      <c r="T443" s="105" t="s">
        <v>808</v>
      </c>
      <c r="U443" s="108" t="s">
        <v>817</v>
      </c>
      <c r="V443" s="107">
        <v>26.3</v>
      </c>
    </row>
    <row r="444" spans="1:22">
      <c r="A444" s="123" t="s">
        <v>818</v>
      </c>
      <c r="B444" s="59">
        <f>+B443+1</f>
        <v>436</v>
      </c>
      <c r="C444" s="102">
        <v>57.7</v>
      </c>
      <c r="D444" s="92" t="str">
        <f>+A444</f>
        <v>TITANIUM (URINE)</v>
      </c>
      <c r="E444" s="105"/>
      <c r="T444" s="105" t="s">
        <v>810</v>
      </c>
      <c r="U444" s="108" t="s">
        <v>819</v>
      </c>
      <c r="V444" s="107">
        <v>26.3</v>
      </c>
    </row>
    <row r="445" spans="1:22">
      <c r="A445" s="123" t="s">
        <v>820</v>
      </c>
      <c r="B445" s="59">
        <f>+B444+1</f>
        <v>437</v>
      </c>
      <c r="C445" s="102">
        <v>26.3</v>
      </c>
      <c r="D445" s="92" t="str">
        <f>+A445</f>
        <v>TUNGSTEN (PLASMA)</v>
      </c>
      <c r="E445" s="105"/>
      <c r="T445" s="105" t="s">
        <v>812</v>
      </c>
      <c r="U445" s="108" t="s">
        <v>821</v>
      </c>
      <c r="V445" s="107">
        <v>26.3</v>
      </c>
    </row>
    <row r="446" spans="1:22">
      <c r="A446" s="123" t="s">
        <v>822</v>
      </c>
      <c r="B446" s="59">
        <f>+B445+1</f>
        <v>438</v>
      </c>
      <c r="C446" s="102">
        <v>26.3</v>
      </c>
      <c r="D446" s="92" t="str">
        <f>+A446</f>
        <v>TUNGSTEN (URINE)</v>
      </c>
      <c r="E446" s="105"/>
      <c r="T446" s="105" t="s">
        <v>814</v>
      </c>
      <c r="U446" s="108" t="s">
        <v>823</v>
      </c>
      <c r="V446" s="107">
        <v>57.7</v>
      </c>
    </row>
    <row r="447" spans="1:22">
      <c r="A447" s="123" t="s">
        <v>824</v>
      </c>
      <c r="B447" s="59">
        <f>+B446+1</f>
        <v>439</v>
      </c>
      <c r="C447" s="102">
        <v>41.7</v>
      </c>
      <c r="D447" s="92" t="str">
        <f>+A447</f>
        <v>URANIUM (URINE not reported)</v>
      </c>
      <c r="E447" s="105"/>
      <c r="T447" s="105" t="s">
        <v>816</v>
      </c>
      <c r="U447" s="108" t="s">
        <v>825</v>
      </c>
      <c r="V447" s="107">
        <v>57.7</v>
      </c>
    </row>
    <row r="448" spans="1:22">
      <c r="A448" s="123" t="s">
        <v>826</v>
      </c>
      <c r="B448" s="59">
        <f>+B447+1</f>
        <v>440</v>
      </c>
      <c r="C448" s="102">
        <v>41.7</v>
      </c>
      <c r="D448" s="92" t="str">
        <f>+A448</f>
        <v>URANIUM (URINE)</v>
      </c>
      <c r="E448" s="105"/>
      <c r="T448" s="105" t="s">
        <v>818</v>
      </c>
      <c r="U448" s="108" t="s">
        <v>827</v>
      </c>
      <c r="V448" s="107">
        <v>57.7</v>
      </c>
    </row>
    <row r="449" spans="1:22">
      <c r="A449" s="123" t="s">
        <v>828</v>
      </c>
      <c r="B449" s="59">
        <f>+B448+1</f>
        <v>441</v>
      </c>
      <c r="C449" s="102">
        <v>26.3</v>
      </c>
      <c r="D449" s="92" t="str">
        <f>+A449</f>
        <v>VANADIUM (OTHER)</v>
      </c>
      <c r="E449" s="105"/>
      <c r="T449" s="105" t="s">
        <v>829</v>
      </c>
      <c r="U449" s="108" t="s">
        <v>830</v>
      </c>
      <c r="V449" s="107">
        <v>13.9</v>
      </c>
    </row>
    <row r="450" spans="1:22">
      <c r="A450" s="123" t="s">
        <v>831</v>
      </c>
      <c r="B450" s="59">
        <f>+B449+1</f>
        <v>442</v>
      </c>
      <c r="C450" s="102">
        <v>26.3</v>
      </c>
      <c r="D450" s="92" t="str">
        <f>+A450</f>
        <v>VANADIUM (PLASMA)</v>
      </c>
      <c r="E450" s="105"/>
      <c r="T450" s="105" t="s">
        <v>820</v>
      </c>
      <c r="U450" s="108" t="s">
        <v>832</v>
      </c>
      <c r="V450" s="107">
        <v>26.3</v>
      </c>
    </row>
    <row r="451" spans="1:22">
      <c r="A451" s="123" t="s">
        <v>833</v>
      </c>
      <c r="B451" s="59">
        <f>+B450+1</f>
        <v>443</v>
      </c>
      <c r="C451" s="102">
        <v>26.3</v>
      </c>
      <c r="D451" s="92" t="str">
        <f>+A451</f>
        <v>VANADIUM (URINE)</v>
      </c>
      <c r="E451" s="105"/>
      <c r="T451" s="105" t="s">
        <v>822</v>
      </c>
      <c r="U451" s="108" t="s">
        <v>834</v>
      </c>
      <c r="V451" s="107">
        <v>26.3</v>
      </c>
    </row>
    <row r="452" spans="1:22">
      <c r="A452" s="123" t="s">
        <v>835</v>
      </c>
      <c r="B452" s="59">
        <f>+B451+1</f>
        <v>444</v>
      </c>
      <c r="C452" s="102">
        <v>17.5</v>
      </c>
      <c r="D452" s="92" t="str">
        <f>+A452</f>
        <v>ZINC (BLOOD)</v>
      </c>
      <c r="E452" s="105"/>
      <c r="T452" s="105" t="s">
        <v>824</v>
      </c>
      <c r="U452" s="108" t="s">
        <v>836</v>
      </c>
      <c r="V452" s="107">
        <v>41.7</v>
      </c>
    </row>
    <row r="453" spans="1:22">
      <c r="A453" s="123" t="s">
        <v>837</v>
      </c>
      <c r="B453" s="59">
        <f>+B452+1</f>
        <v>445</v>
      </c>
      <c r="C453" s="102">
        <v>17.5</v>
      </c>
      <c r="D453" s="92" t="str">
        <f>+A453</f>
        <v>ZINC (OTHER)</v>
      </c>
      <c r="E453" s="105"/>
      <c r="T453" s="105" t="s">
        <v>826</v>
      </c>
      <c r="U453" s="108" t="s">
        <v>838</v>
      </c>
      <c r="V453" s="107">
        <v>41.7</v>
      </c>
    </row>
    <row r="454" spans="1:22">
      <c r="A454" s="123" t="s">
        <v>839</v>
      </c>
      <c r="B454" s="59">
        <f>+B453+1</f>
        <v>446</v>
      </c>
      <c r="C454" s="102">
        <v>17.5</v>
      </c>
      <c r="D454" s="92" t="str">
        <f>+A454</f>
        <v>ZINC (PLASMA)</v>
      </c>
      <c r="E454" s="105"/>
      <c r="T454" s="105" t="s">
        <v>828</v>
      </c>
      <c r="U454" s="108" t="s">
        <v>840</v>
      </c>
      <c r="V454" s="107">
        <v>26.3</v>
      </c>
    </row>
    <row r="455" spans="1:22">
      <c r="A455" s="123" t="s">
        <v>841</v>
      </c>
      <c r="B455" s="59">
        <f>+B454+1</f>
        <v>447</v>
      </c>
      <c r="C455" s="102">
        <v>17.5</v>
      </c>
      <c r="D455" s="92" t="str">
        <f>+A455</f>
        <v>ZINC (URINE)</v>
      </c>
      <c r="E455" s="105"/>
      <c r="T455" s="105" t="s">
        <v>831</v>
      </c>
      <c r="U455" s="108" t="s">
        <v>842</v>
      </c>
      <c r="V455" s="107">
        <v>26.3</v>
      </c>
    </row>
    <row r="456" spans="1:22">
      <c r="A456" s="123" t="s">
        <v>843</v>
      </c>
      <c r="B456" s="59">
        <f>+B455+1</f>
        <v>448</v>
      </c>
      <c r="C456" s="102">
        <v>25</v>
      </c>
      <c r="D456" s="92" t="str">
        <f>+A456</f>
        <v>COBALT &amp; CHROMIUM (BLOOD)</v>
      </c>
      <c r="E456" s="105"/>
      <c r="T456" s="105" t="s">
        <v>833</v>
      </c>
      <c r="U456" s="108" t="s">
        <v>844</v>
      </c>
      <c r="V456" s="107">
        <v>26.3</v>
      </c>
    </row>
    <row r="457" spans="1:22">
      <c r="A457" s="123" t="s">
        <v>845</v>
      </c>
      <c r="B457" s="59">
        <f>+B456+1</f>
        <v>449</v>
      </c>
      <c r="C457" s="102">
        <v>25</v>
      </c>
      <c r="D457" s="92" t="str">
        <f>+A457</f>
        <v>COBALT &amp; CHROMIUM (PLASMA)</v>
      </c>
      <c r="E457" s="105"/>
      <c r="T457" s="105" t="s">
        <v>835</v>
      </c>
      <c r="U457" s="108" t="s">
        <v>846</v>
      </c>
      <c r="V457" s="107">
        <v>17.5</v>
      </c>
    </row>
    <row r="458" spans="1:22">
      <c r="A458" s="126" t="s">
        <v>847</v>
      </c>
      <c r="B458" s="59">
        <f>+B457+1</f>
        <v>450</v>
      </c>
      <c r="C458" s="102">
        <v>26.3</v>
      </c>
      <c r="D458" s="92" t="str">
        <f>+A458</f>
        <v>COPPER + ZINC (PLASMA)</v>
      </c>
      <c r="E458" s="105"/>
      <c r="T458" s="105" t="s">
        <v>837</v>
      </c>
      <c r="U458" s="108" t="s">
        <v>848</v>
      </c>
      <c r="V458" s="107">
        <v>17.5</v>
      </c>
    </row>
    <row r="459" spans="1:22">
      <c r="A459" s="126" t="s">
        <v>849</v>
      </c>
      <c r="B459" s="59">
        <f>+B458+1</f>
        <v>451</v>
      </c>
      <c r="C459" s="102">
        <v>41.9</v>
      </c>
      <c r="D459" s="92" t="str">
        <f>+A459</f>
        <v>COPPER + ZINC + SELENIUM (PLASMA)</v>
      </c>
      <c r="E459" s="105"/>
      <c r="T459" s="105" t="s">
        <v>839</v>
      </c>
      <c r="U459" s="108" t="s">
        <v>850</v>
      </c>
      <c r="V459" s="107">
        <v>17.5</v>
      </c>
    </row>
    <row r="460" spans="1:22">
      <c r="A460" s="126" t="s">
        <v>849</v>
      </c>
      <c r="B460" s="59">
        <f>+B459+1</f>
        <v>452</v>
      </c>
      <c r="C460" s="102">
        <v>41.9</v>
      </c>
      <c r="D460" s="92" t="str">
        <f>+A460</f>
        <v>COPPER + ZINC + SELENIUM (PLASMA)</v>
      </c>
      <c r="E460" s="105"/>
      <c r="T460" s="105" t="s">
        <v>841</v>
      </c>
      <c r="U460" s="108" t="s">
        <v>851</v>
      </c>
      <c r="V460" s="107">
        <v>17.5</v>
      </c>
    </row>
    <row r="461" spans="1:22">
      <c r="A461" s="126" t="s">
        <v>852</v>
      </c>
      <c r="B461" s="59">
        <f>+B460+1</f>
        <v>453</v>
      </c>
      <c r="C461" s="102">
        <v>99.6</v>
      </c>
      <c r="D461" s="92" t="str">
        <f>+A461</f>
        <v>TOXIC SCREEN (ALL METALS (BLOOD/URIINE)</v>
      </c>
      <c r="E461" s="110"/>
      <c r="T461" s="110" t="s">
        <v>847</v>
      </c>
      <c r="U461" s="111" t="s">
        <v>853</v>
      </c>
      <c r="V461" s="107">
        <v>26.3</v>
      </c>
    </row>
    <row r="462" spans="1:22">
      <c r="A462" s="126" t="s">
        <v>852</v>
      </c>
      <c r="B462" s="59">
        <f>+B461+1</f>
        <v>454</v>
      </c>
      <c r="C462" s="102">
        <v>99.6</v>
      </c>
      <c r="D462" s="92" t="str">
        <f>+A462</f>
        <v>TOXIC SCREEN (ALL METALS (BLOOD/URIINE)</v>
      </c>
      <c r="E462" s="110"/>
      <c r="T462" s="110" t="s">
        <v>849</v>
      </c>
      <c r="U462" s="111" t="s">
        <v>854</v>
      </c>
      <c r="V462" s="107">
        <v>41.9</v>
      </c>
    </row>
    <row r="463" spans="1:22">
      <c r="A463" s="126" t="s">
        <v>855</v>
      </c>
      <c r="B463" s="59">
        <f>+B462+1</f>
        <v>455</v>
      </c>
      <c r="C463" s="102">
        <v>99.6</v>
      </c>
      <c r="D463" s="92" t="str">
        <f>+A463</f>
        <v>LEAD ISOTOPES RATIO (BLOOD/SOURCES OF LEAD)</v>
      </c>
      <c r="E463" s="110"/>
      <c r="T463" s="110" t="s">
        <v>852</v>
      </c>
      <c r="U463" s="108" t="s">
        <v>856</v>
      </c>
      <c r="V463" s="107">
        <v>99.6</v>
      </c>
    </row>
    <row r="464" spans="1:22" ht="13">
      <c r="A464" s="128" t="s">
        <v>857</v>
      </c>
      <c r="B464" s="59">
        <f>+B463+1</f>
        <v>456</v>
      </c>
      <c r="C464" s="102">
        <v>0</v>
      </c>
      <c r="D464" s="92" t="str">
        <f>+A464</f>
        <v>HAEMATOLOGY</v>
      </c>
      <c r="E464" s="129"/>
      <c r="T464" s="128" t="s">
        <v>858</v>
      </c>
      <c r="U464" s="109"/>
      <c r="V464" s="107"/>
    </row>
    <row r="465" spans="1:22" ht="13">
      <c r="A465" s="130" t="s">
        <v>859</v>
      </c>
      <c r="B465" s="59">
        <f>+B464+1</f>
        <v>457</v>
      </c>
      <c r="C465" s="102">
        <v>3.1</v>
      </c>
      <c r="D465" s="92" t="str">
        <f>+A465</f>
        <v>FULL BLOOD COUNT</v>
      </c>
      <c r="E465" s="129"/>
      <c r="T465" s="128"/>
      <c r="U465" s="109"/>
      <c r="V465" s="107"/>
    </row>
    <row r="466" spans="1:22">
      <c r="A466" s="130" t="s">
        <v>860</v>
      </c>
      <c r="B466" s="59">
        <f>+B465+1</f>
        <v>458</v>
      </c>
      <c r="C466" s="102">
        <v>8.7</v>
      </c>
      <c r="D466" s="92" t="str">
        <f>+A466</f>
        <v>FILM</v>
      </c>
      <c r="E466" s="130"/>
      <c r="T466" s="130" t="s">
        <v>861</v>
      </c>
      <c r="U466" s="111" t="s">
        <v>862</v>
      </c>
      <c r="V466" s="107">
        <v>18.8</v>
      </c>
    </row>
    <row r="467" spans="1:22">
      <c r="A467" s="130" t="s">
        <v>863</v>
      </c>
      <c r="B467" s="59">
        <f>+B466+1</f>
        <v>459</v>
      </c>
      <c r="C467" s="102">
        <v>3.9</v>
      </c>
      <c r="D467" s="92" t="str">
        <f>+A467</f>
        <v>ESR</v>
      </c>
      <c r="E467" s="130"/>
      <c r="T467" s="130"/>
      <c r="U467" s="111"/>
      <c r="V467" s="107"/>
    </row>
    <row r="468" spans="1:22">
      <c r="A468" s="130" t="s">
        <v>864</v>
      </c>
      <c r="B468" s="59">
        <f>+B467+1</f>
        <v>460</v>
      </c>
      <c r="C468" s="102">
        <v>22.1</v>
      </c>
      <c r="D468" s="92" t="str">
        <f>+A468</f>
        <v>MALARIAL SCREEN</v>
      </c>
      <c r="E468" s="130"/>
      <c r="T468" s="130"/>
      <c r="U468" s="111"/>
      <c r="V468" s="107"/>
    </row>
    <row r="469" spans="1:22">
      <c r="A469" s="130" t="s">
        <v>865</v>
      </c>
      <c r="B469" s="59">
        <f>+B468+1</f>
        <v>461</v>
      </c>
      <c r="C469" s="102">
        <v>4.3</v>
      </c>
      <c r="D469" s="92" t="str">
        <f>+A469</f>
        <v>IM SCREEN</v>
      </c>
      <c r="E469" s="130"/>
      <c r="T469" s="130"/>
      <c r="U469" s="111"/>
      <c r="V469" s="107"/>
    </row>
    <row r="470" spans="1:22">
      <c r="A470" s="130" t="s">
        <v>866</v>
      </c>
      <c r="B470" s="59">
        <f>+B469+1</f>
        <v>462</v>
      </c>
      <c r="C470" s="102">
        <v>4.7</v>
      </c>
      <c r="D470" s="92" t="str">
        <f>+A470</f>
        <v>CLOTTING SCREEN</v>
      </c>
      <c r="E470" s="130"/>
      <c r="T470" s="130"/>
      <c r="U470" s="111"/>
      <c r="V470" s="107"/>
    </row>
    <row r="471" spans="1:22">
      <c r="A471" s="130" t="s">
        <v>867</v>
      </c>
      <c r="B471" s="59">
        <f>+B470+1</f>
        <v>463</v>
      </c>
      <c r="C471" s="102">
        <v>3.3</v>
      </c>
      <c r="D471" s="92" t="str">
        <f>+A471</f>
        <v>ACTIVATED PARTIAL THROMBOPLASTIN TIME</v>
      </c>
      <c r="E471" s="130"/>
      <c r="T471" s="130"/>
      <c r="U471" s="111"/>
      <c r="V471" s="107"/>
    </row>
    <row r="472" spans="1:22">
      <c r="A472" s="130" t="s">
        <v>868</v>
      </c>
      <c r="B472" s="59">
        <f>+B471+1</f>
        <v>464</v>
      </c>
      <c r="C472" s="102">
        <v>3.3</v>
      </c>
      <c r="D472" s="92" t="str">
        <f>+A472</f>
        <v>INR - INTERNATIONAL NORMALISED RATIO</v>
      </c>
      <c r="E472" s="130"/>
      <c r="T472" s="130"/>
      <c r="U472" s="111"/>
      <c r="V472" s="107"/>
    </row>
    <row r="473" spans="1:22">
      <c r="A473" s="130" t="s">
        <v>869</v>
      </c>
      <c r="B473" s="59">
        <f>+B472+1</f>
        <v>465</v>
      </c>
      <c r="C473" s="102">
        <v>10.9</v>
      </c>
      <c r="D473" s="92" t="str">
        <f>+A473</f>
        <v>D-DIMER ASSAY</v>
      </c>
      <c r="E473" s="130"/>
      <c r="T473" s="130"/>
      <c r="U473" s="111"/>
      <c r="V473" s="107"/>
    </row>
    <row r="474" spans="1:22">
      <c r="A474" s="130" t="s">
        <v>870</v>
      </c>
      <c r="B474" s="59">
        <f>+B473+1</f>
        <v>466</v>
      </c>
      <c r="C474" s="102">
        <v>11.5</v>
      </c>
      <c r="D474" s="92" t="str">
        <f>+A474</f>
        <v>HAEMOGLOBIN ELECTROPHORESIS (HPLC)</v>
      </c>
      <c r="E474" s="130"/>
      <c r="T474" s="130" t="s">
        <v>871</v>
      </c>
      <c r="U474" s="111" t="s">
        <v>862</v>
      </c>
      <c r="V474" s="107">
        <v>18.8</v>
      </c>
    </row>
    <row r="475" spans="1:22">
      <c r="A475" s="130" t="s">
        <v>872</v>
      </c>
      <c r="B475" s="59">
        <f>+B474+1</f>
        <v>467</v>
      </c>
      <c r="C475" s="102">
        <v>9.5</v>
      </c>
      <c r="D475" s="92" t="str">
        <f>+A475</f>
        <v>ABSOLUTE RETICULOCYTES</v>
      </c>
      <c r="E475" s="130"/>
      <c r="T475" s="130" t="s">
        <v>873</v>
      </c>
      <c r="U475" s="111" t="s">
        <v>874</v>
      </c>
      <c r="V475" s="107">
        <v>33.6</v>
      </c>
    </row>
    <row r="476" spans="1:22">
      <c r="A476" s="130" t="s">
        <v>861</v>
      </c>
      <c r="B476" s="59">
        <f>+B475+1</f>
        <v>468</v>
      </c>
      <c r="C476" s="102">
        <v>18.8</v>
      </c>
      <c r="D476" s="92" t="str">
        <f>+A476</f>
        <v>ACID ELUTION (EOSIN)</v>
      </c>
      <c r="E476" s="130"/>
      <c r="T476" s="130" t="s">
        <v>875</v>
      </c>
      <c r="U476" s="111" t="s">
        <v>876</v>
      </c>
      <c r="V476" s="107">
        <v>15.6</v>
      </c>
    </row>
    <row r="477" spans="1:22">
      <c r="A477" s="130" t="s">
        <v>871</v>
      </c>
      <c r="B477" s="59">
        <f>+B476+1</f>
        <v>469</v>
      </c>
      <c r="C477" s="102">
        <v>18.8</v>
      </c>
      <c r="D477" s="92" t="str">
        <f>+A477</f>
        <v>ACID ELUTION (GEIMSA)</v>
      </c>
      <c r="E477" s="130"/>
      <c r="T477" s="130" t="s">
        <v>877</v>
      </c>
      <c r="U477" s="111" t="s">
        <v>878</v>
      </c>
      <c r="V477" s="107">
        <v>15.6</v>
      </c>
    </row>
    <row r="478" spans="1:22">
      <c r="A478" s="130" t="s">
        <v>873</v>
      </c>
      <c r="B478" s="59">
        <f>+B477+1</f>
        <v>470</v>
      </c>
      <c r="C478" s="102">
        <v>33.6</v>
      </c>
      <c r="D478" s="92" t="str">
        <f>+A478</f>
        <v>AGAR GEL ELECTROPHORESIS</v>
      </c>
      <c r="E478" s="130"/>
      <c r="T478" s="130" t="s">
        <v>879</v>
      </c>
      <c r="U478" s="111" t="s">
        <v>880</v>
      </c>
      <c r="V478" s="107">
        <v>20</v>
      </c>
    </row>
    <row r="479" spans="1:22">
      <c r="A479" s="130" t="s">
        <v>881</v>
      </c>
      <c r="B479" s="59">
        <f>+B478+1</f>
        <v>471</v>
      </c>
      <c r="C479" s="102">
        <v>3.1</v>
      </c>
      <c r="D479" s="92" t="str">
        <f>+A479</f>
        <v>ASCITIC FLUID WHITW COUNT</v>
      </c>
      <c r="E479" s="130"/>
      <c r="T479" s="130" t="s">
        <v>882</v>
      </c>
      <c r="U479" s="111" t="s">
        <v>883</v>
      </c>
      <c r="V479" s="107">
        <v>5.4</v>
      </c>
    </row>
    <row r="480" spans="1:22">
      <c r="A480" s="130" t="s">
        <v>884</v>
      </c>
      <c r="B480" s="59">
        <f>+B479+1</f>
        <v>472</v>
      </c>
      <c r="C480" s="102">
        <v>62.8</v>
      </c>
      <c r="D480" s="92" t="str">
        <f>+A480</f>
        <v>AUTOHAEMOLOGYSIS</v>
      </c>
      <c r="E480" s="130"/>
      <c r="T480" s="130" t="s">
        <v>885</v>
      </c>
      <c r="U480" s="108" t="s">
        <v>886</v>
      </c>
      <c r="V480" s="107">
        <v>9</v>
      </c>
    </row>
    <row r="481" spans="1:22">
      <c r="A481" s="130" t="s">
        <v>887</v>
      </c>
      <c r="B481" s="59">
        <f>+B480+1</f>
        <v>473</v>
      </c>
      <c r="C481" s="102">
        <v>62.8</v>
      </c>
      <c r="D481" s="92" t="str">
        <f>+A481</f>
        <v>AUTOHAEMOLOGYSIS (GLUCOSE)</v>
      </c>
      <c r="E481" s="130"/>
      <c r="T481" s="130" t="s">
        <v>863</v>
      </c>
      <c r="U481" s="108" t="s">
        <v>863</v>
      </c>
      <c r="V481" s="107">
        <v>3.9</v>
      </c>
    </row>
    <row r="482" spans="1:22">
      <c r="A482" s="130" t="s">
        <v>875</v>
      </c>
      <c r="B482" s="59">
        <f>+B481+1</f>
        <v>474</v>
      </c>
      <c r="C482" s="102">
        <v>15.6</v>
      </c>
      <c r="D482" s="92" t="str">
        <f>+A482</f>
        <v>BONE MARROW PROCESSING</v>
      </c>
      <c r="E482" s="130"/>
      <c r="T482" s="130" t="s">
        <v>860</v>
      </c>
      <c r="U482" s="108" t="s">
        <v>888</v>
      </c>
      <c r="V482" s="107">
        <v>8.7</v>
      </c>
    </row>
    <row r="483" spans="1:22">
      <c r="A483" s="130" t="s">
        <v>877</v>
      </c>
      <c r="B483" s="59">
        <f>+B482+1</f>
        <v>475</v>
      </c>
      <c r="C483" s="102">
        <v>15.6</v>
      </c>
      <c r="D483" s="92" t="str">
        <f>+A483</f>
        <v>BONE MARROW TREPHINE PROCESSING</v>
      </c>
      <c r="E483" s="130"/>
      <c r="T483" s="130" t="s">
        <v>884</v>
      </c>
      <c r="U483" s="111" t="s">
        <v>889</v>
      </c>
      <c r="V483" s="107">
        <v>62.8</v>
      </c>
    </row>
    <row r="484" spans="1:22">
      <c r="A484" s="130" t="s">
        <v>890</v>
      </c>
      <c r="B484" s="59">
        <f>+B483+1</f>
        <v>476</v>
      </c>
      <c r="C484" s="102">
        <v>0</v>
      </c>
      <c r="D484" s="92" t="str">
        <f>+A484</f>
        <v>CHEMILUMINESCENCE TEST (NBS)</v>
      </c>
      <c r="E484" s="130"/>
      <c r="T484" s="130" t="s">
        <v>887</v>
      </c>
      <c r="U484" s="111" t="s">
        <v>891</v>
      </c>
      <c r="V484" s="107">
        <v>62.8</v>
      </c>
    </row>
    <row r="485" spans="1:22" ht="13">
      <c r="A485" s="130" t="s">
        <v>892</v>
      </c>
      <c r="B485" s="59">
        <f>+B484+1</f>
        <v>477</v>
      </c>
      <c r="C485" s="102">
        <v>34.3</v>
      </c>
      <c r="D485" s="92" t="str">
        <f>+A485</f>
        <v>CITRATE KAOLIN TEG</v>
      </c>
      <c r="E485" s="128"/>
      <c r="T485" s="130" t="s">
        <v>859</v>
      </c>
      <c r="U485" s="108" t="s">
        <v>893</v>
      </c>
      <c r="V485" s="107">
        <v>3.1</v>
      </c>
    </row>
    <row r="486" spans="1:22">
      <c r="A486" s="130" t="s">
        <v>882</v>
      </c>
      <c r="B486" s="59">
        <f>+B485+1</f>
        <v>478</v>
      </c>
      <c r="C486" s="102">
        <v>5.4</v>
      </c>
      <c r="D486" s="92" t="str">
        <f>+A486</f>
        <v>CYTOSPIN</v>
      </c>
      <c r="E486" s="130"/>
      <c r="T486" s="130" t="s">
        <v>894</v>
      </c>
      <c r="U486" s="108" t="s">
        <v>895</v>
      </c>
      <c r="V486" s="107">
        <v>3.1</v>
      </c>
    </row>
    <row r="487" spans="1:22">
      <c r="A487" s="130" t="s">
        <v>896</v>
      </c>
      <c r="B487" s="59">
        <f>+B486+1</f>
        <v>479</v>
      </c>
      <c r="C487" s="102">
        <v>35.8</v>
      </c>
      <c r="D487" s="92" t="str">
        <f>+A487</f>
        <v>D EPITOPES</v>
      </c>
      <c r="E487" s="130"/>
      <c r="T487" s="130" t="s">
        <v>881</v>
      </c>
      <c r="U487" s="108" t="s">
        <v>897</v>
      </c>
      <c r="V487" s="107">
        <v>3.1</v>
      </c>
    </row>
    <row r="488" spans="1:22">
      <c r="A488" s="130" t="s">
        <v>885</v>
      </c>
      <c r="B488" s="59">
        <f>+B487+1</f>
        <v>480</v>
      </c>
      <c r="C488" s="102">
        <v>9</v>
      </c>
      <c r="D488" s="92" t="str">
        <f>+A488</f>
        <v>DIFFERENTIAL COUNT (MANUAL)</v>
      </c>
      <c r="E488" s="130"/>
      <c r="T488" s="130" t="s">
        <v>892</v>
      </c>
      <c r="U488" s="108" t="s">
        <v>898</v>
      </c>
      <c r="V488" s="107">
        <v>34.3</v>
      </c>
    </row>
    <row r="489" spans="1:22">
      <c r="A489" s="130" t="s">
        <v>879</v>
      </c>
      <c r="B489" s="59">
        <f>+B488+1</f>
        <v>481</v>
      </c>
      <c r="C489" s="102">
        <v>20</v>
      </c>
      <c r="D489" s="92" t="str">
        <f>+A489</f>
        <v>DOUBLE ESTERASE</v>
      </c>
      <c r="E489" s="130"/>
      <c r="T489" s="130" t="s">
        <v>899</v>
      </c>
      <c r="U489" s="111" t="s">
        <v>880</v>
      </c>
      <c r="V489" s="107">
        <v>20</v>
      </c>
    </row>
    <row r="490" spans="1:22">
      <c r="A490" s="130" t="s">
        <v>894</v>
      </c>
      <c r="B490" s="59">
        <f>+B489+1</f>
        <v>482</v>
      </c>
      <c r="C490" s="102">
        <v>3.1</v>
      </c>
      <c r="D490" s="92" t="str">
        <f>+A490</f>
        <v>FBC (RSH)</v>
      </c>
      <c r="E490" s="130"/>
      <c r="T490" s="130" t="s">
        <v>896</v>
      </c>
      <c r="U490" s="108" t="s">
        <v>900</v>
      </c>
      <c r="V490" s="107">
        <v>35.8</v>
      </c>
    </row>
    <row r="491" spans="1:22">
      <c r="A491" s="130" t="s">
        <v>901</v>
      </c>
      <c r="B491" s="59">
        <f>+B490+1</f>
        <v>483</v>
      </c>
      <c r="C491" s="102">
        <v>38.1</v>
      </c>
      <c r="D491" s="92" t="str">
        <f>+A491</f>
        <v>G6PD ASSAY</v>
      </c>
      <c r="E491" s="130"/>
      <c r="T491" s="130" t="s">
        <v>901</v>
      </c>
      <c r="U491" s="111" t="s">
        <v>902</v>
      </c>
      <c r="V491" s="107">
        <v>38.1</v>
      </c>
    </row>
    <row r="492" spans="1:22">
      <c r="A492" s="130" t="s">
        <v>903</v>
      </c>
      <c r="B492" s="59">
        <f>+B491+1</f>
        <v>484</v>
      </c>
      <c r="C492" s="102">
        <v>32.2</v>
      </c>
      <c r="D492" s="92" t="str">
        <f>+A492</f>
        <v>G6PD SCREEN</v>
      </c>
      <c r="E492" s="130"/>
      <c r="T492" s="130" t="s">
        <v>904</v>
      </c>
      <c r="U492" s="111" t="s">
        <v>905</v>
      </c>
      <c r="V492" s="107">
        <v>45.1</v>
      </c>
    </row>
    <row r="493" spans="1:22">
      <c r="A493" s="130" t="s">
        <v>906</v>
      </c>
      <c r="B493" s="59">
        <f>+B492+1</f>
        <v>485</v>
      </c>
      <c r="C493" s="102">
        <v>6</v>
      </c>
      <c r="D493" s="92" t="str">
        <f>+A493</f>
        <v>GENOTYPE</v>
      </c>
      <c r="E493" s="130"/>
      <c r="T493" s="130" t="s">
        <v>906</v>
      </c>
      <c r="U493" s="108" t="s">
        <v>907</v>
      </c>
      <c r="V493" s="107">
        <v>6</v>
      </c>
    </row>
    <row r="494" spans="1:22">
      <c r="A494" s="130" t="s">
        <v>904</v>
      </c>
      <c r="B494" s="59">
        <f>+B493+1</f>
        <v>486</v>
      </c>
      <c r="C494" s="102">
        <v>45.1</v>
      </c>
      <c r="D494" s="92" t="str">
        <f>+A494</f>
        <v>GLOBULIN CHAIN ELECTROPHORESIS</v>
      </c>
      <c r="E494" s="130"/>
      <c r="T494" s="130" t="s">
        <v>908</v>
      </c>
      <c r="U494" s="111" t="s">
        <v>909</v>
      </c>
      <c r="V494" s="107">
        <v>75.9</v>
      </c>
    </row>
    <row r="495" spans="1:22">
      <c r="A495" s="130" t="s">
        <v>908</v>
      </c>
      <c r="B495" s="59">
        <f>+B494+1</f>
        <v>487</v>
      </c>
      <c r="C495" s="102">
        <v>75.9</v>
      </c>
      <c r="D495" s="92" t="str">
        <f>+A495</f>
        <v>GLUTATHIONE ASSAY</v>
      </c>
      <c r="E495" s="130"/>
      <c r="T495" s="130" t="s">
        <v>903</v>
      </c>
      <c r="U495" s="108" t="s">
        <v>910</v>
      </c>
      <c r="V495" s="107">
        <v>32.2</v>
      </c>
    </row>
    <row r="496" spans="1:22">
      <c r="A496" s="130" t="s">
        <v>911</v>
      </c>
      <c r="B496" s="59">
        <f>+B495+1</f>
        <v>488</v>
      </c>
      <c r="C496" s="102">
        <v>14.5</v>
      </c>
      <c r="D496" s="92" t="str">
        <f>+A496</f>
        <v>HAEMOGLOBIN A2 ASSAY</v>
      </c>
      <c r="E496" s="130"/>
      <c r="T496" s="130" t="s">
        <v>912</v>
      </c>
      <c r="U496" s="111" t="s">
        <v>913</v>
      </c>
      <c r="V496" s="107">
        <v>20.4</v>
      </c>
    </row>
    <row r="497" spans="1:22">
      <c r="A497" s="130" t="s">
        <v>914</v>
      </c>
      <c r="B497" s="59">
        <f>+B496+1</f>
        <v>489</v>
      </c>
      <c r="C497" s="102">
        <v>32.2</v>
      </c>
      <c r="D497" s="92" t="str">
        <f>+A497</f>
        <v>HAEMOGLOBIN C ASSAY</v>
      </c>
      <c r="E497" s="130"/>
      <c r="T497" s="130" t="s">
        <v>911</v>
      </c>
      <c r="U497" s="111" t="s">
        <v>915</v>
      </c>
      <c r="V497" s="107">
        <v>14.5</v>
      </c>
    </row>
    <row r="498" spans="1:22">
      <c r="A498" s="130" t="s">
        <v>916</v>
      </c>
      <c r="B498" s="59">
        <f>+B497+1</f>
        <v>490</v>
      </c>
      <c r="C498" s="102">
        <v>32.2</v>
      </c>
      <c r="D498" s="92" t="str">
        <f>+A498</f>
        <v>HAEMOGLOBIN D ASSAY</v>
      </c>
      <c r="E498" s="130"/>
      <c r="T498" s="130" t="s">
        <v>914</v>
      </c>
      <c r="U498" s="108" t="s">
        <v>917</v>
      </c>
      <c r="V498" s="107">
        <v>32.2</v>
      </c>
    </row>
    <row r="499" spans="1:22">
      <c r="A499" s="130" t="s">
        <v>918</v>
      </c>
      <c r="B499" s="59">
        <f>+B498+1</f>
        <v>491</v>
      </c>
      <c r="C499" s="102">
        <v>32.2</v>
      </c>
      <c r="D499" s="92" t="str">
        <f>+A499</f>
        <v>HAEMOGLOBIN E ASSAY</v>
      </c>
      <c r="E499" s="130"/>
      <c r="T499" s="130" t="s">
        <v>916</v>
      </c>
      <c r="U499" s="111" t="s">
        <v>919</v>
      </c>
      <c r="V499" s="107">
        <v>32.2</v>
      </c>
    </row>
    <row r="500" spans="1:22">
      <c r="A500" s="130" t="s">
        <v>920</v>
      </c>
      <c r="B500" s="59">
        <f>+B499+1</f>
        <v>492</v>
      </c>
      <c r="C500" s="102">
        <v>20</v>
      </c>
      <c r="D500" s="92" t="str">
        <f>+A500</f>
        <v>HAEMOGLOBIN F ASSAY</v>
      </c>
      <c r="E500" s="130"/>
      <c r="T500" s="130" t="s">
        <v>918</v>
      </c>
      <c r="U500" s="111" t="s">
        <v>921</v>
      </c>
      <c r="V500" s="107">
        <v>32.2</v>
      </c>
    </row>
    <row r="501" spans="1:22">
      <c r="A501" s="130" t="s">
        <v>922</v>
      </c>
      <c r="B501" s="59">
        <f>+B500+1</f>
        <v>493</v>
      </c>
      <c r="C501" s="102">
        <v>7.7</v>
      </c>
      <c r="D501" s="92" t="str">
        <f>+A501</f>
        <v>HAEMOGLOBIN H BODIES</v>
      </c>
      <c r="E501" s="130"/>
      <c r="T501" s="130" t="s">
        <v>920</v>
      </c>
      <c r="U501" s="111" t="s">
        <v>923</v>
      </c>
      <c r="V501" s="107">
        <v>20</v>
      </c>
    </row>
    <row r="502" spans="1:22">
      <c r="A502" s="130" t="s">
        <v>924</v>
      </c>
      <c r="B502" s="59">
        <f>+B501+1</f>
        <v>494</v>
      </c>
      <c r="C502" s="102">
        <v>16</v>
      </c>
      <c r="D502" s="92" t="str">
        <f>+A502</f>
        <v>HAEMOGLOBIN S ASSAY</v>
      </c>
      <c r="E502" s="130"/>
      <c r="T502" s="130" t="s">
        <v>922</v>
      </c>
      <c r="U502" s="111" t="s">
        <v>925</v>
      </c>
      <c r="V502" s="107">
        <v>7.7</v>
      </c>
    </row>
    <row r="503" spans="1:22">
      <c r="A503" s="130" t="s">
        <v>912</v>
      </c>
      <c r="B503" s="59">
        <f>+B502+1</f>
        <v>495</v>
      </c>
      <c r="C503" s="102">
        <v>20.4</v>
      </c>
      <c r="D503" s="92" t="str">
        <f>+A503</f>
        <v>HAMM'S TEST</v>
      </c>
      <c r="E503" s="130"/>
      <c r="T503" s="130" t="s">
        <v>924</v>
      </c>
      <c r="U503" s="111" t="s">
        <v>926</v>
      </c>
      <c r="V503" s="107">
        <v>16</v>
      </c>
    </row>
    <row r="504" spans="1:22">
      <c r="A504" s="130" t="s">
        <v>927</v>
      </c>
      <c r="B504" s="59">
        <f>+B503+1</f>
        <v>496</v>
      </c>
      <c r="C504" s="102">
        <v>7.7</v>
      </c>
      <c r="D504" s="92" t="str">
        <f>+A504</f>
        <v>HEINZ BODIES</v>
      </c>
      <c r="E504" s="130"/>
      <c r="T504" s="130" t="s">
        <v>928</v>
      </c>
      <c r="U504" s="108" t="s">
        <v>929</v>
      </c>
      <c r="V504" s="107">
        <v>11.5</v>
      </c>
    </row>
    <row r="505" spans="1:22">
      <c r="A505" s="130" t="s">
        <v>930</v>
      </c>
      <c r="B505" s="59">
        <f>+B504+1</f>
        <v>497</v>
      </c>
      <c r="C505" s="102">
        <v>14.5</v>
      </c>
      <c r="D505" s="92" t="str">
        <f>+A505</f>
        <v>MALARIAL KIT</v>
      </c>
      <c r="E505" s="130"/>
      <c r="T505" s="130" t="s">
        <v>927</v>
      </c>
      <c r="U505" s="111" t="s">
        <v>931</v>
      </c>
      <c r="V505" s="107">
        <v>7.7</v>
      </c>
    </row>
    <row r="506" spans="1:22">
      <c r="A506" s="130" t="s">
        <v>932</v>
      </c>
      <c r="B506" s="59">
        <f>+B505+1</f>
        <v>498</v>
      </c>
      <c r="C506" s="102">
        <v>35.4</v>
      </c>
      <c r="D506" s="92" t="str">
        <f>+A506</f>
        <v>OSMOTIC FRAGILITY (FRESH)</v>
      </c>
      <c r="E506" s="130"/>
      <c r="T506" s="130" t="s">
        <v>865</v>
      </c>
      <c r="U506" s="108" t="s">
        <v>933</v>
      </c>
      <c r="V506" s="107">
        <v>4.3</v>
      </c>
    </row>
    <row r="507" spans="1:22">
      <c r="A507" s="130" t="s">
        <v>934</v>
      </c>
      <c r="B507" s="59">
        <f>+B506+1</f>
        <v>499</v>
      </c>
      <c r="C507" s="102">
        <v>35.4</v>
      </c>
      <c r="D507" s="92" t="str">
        <f>+A507</f>
        <v>OSMOTIC FRAGILITY (INCUBATED)</v>
      </c>
      <c r="E507" s="130"/>
      <c r="T507" s="130" t="s">
        <v>864</v>
      </c>
      <c r="U507" s="108" t="s">
        <v>935</v>
      </c>
      <c r="V507" s="107">
        <v>22.1</v>
      </c>
    </row>
    <row r="508" spans="1:22">
      <c r="A508" s="130" t="s">
        <v>936</v>
      </c>
      <c r="B508" s="59">
        <f>+B507+1</f>
        <v>500</v>
      </c>
      <c r="C508" s="102">
        <v>3.1</v>
      </c>
      <c r="D508" s="92" t="str">
        <f>+A508</f>
        <v>PLEURAL ASPIRATE</v>
      </c>
      <c r="E508" s="130"/>
      <c r="T508" s="130" t="s">
        <v>930</v>
      </c>
      <c r="U508" s="111" t="s">
        <v>937</v>
      </c>
      <c r="V508" s="107">
        <v>14.5</v>
      </c>
    </row>
    <row r="509" spans="1:22">
      <c r="A509" s="130" t="s">
        <v>938</v>
      </c>
      <c r="B509" s="59">
        <f>+B508+1</f>
        <v>501</v>
      </c>
      <c r="C509" s="102">
        <v>75.9</v>
      </c>
      <c r="D509" s="92" t="str">
        <f>+A509</f>
        <v>PYRUVATE KINASE SCREEN</v>
      </c>
      <c r="E509" s="130"/>
      <c r="T509" s="130" t="s">
        <v>932</v>
      </c>
      <c r="U509" s="111" t="s">
        <v>939</v>
      </c>
      <c r="V509" s="107">
        <v>35.4</v>
      </c>
    </row>
    <row r="510" spans="1:22">
      <c r="A510" s="130" t="s">
        <v>940</v>
      </c>
      <c r="B510" s="59">
        <f>+B509+1</f>
        <v>502</v>
      </c>
      <c r="C510" s="102">
        <v>21.9</v>
      </c>
      <c r="D510" s="92" t="str">
        <f>+A510</f>
        <v>RED CELL PORPHYRINS</v>
      </c>
      <c r="E510" s="130"/>
      <c r="T510" s="130" t="s">
        <v>934</v>
      </c>
      <c r="U510" s="111" t="s">
        <v>941</v>
      </c>
      <c r="V510" s="107">
        <v>35.4</v>
      </c>
    </row>
    <row r="511" spans="1:22">
      <c r="A511" s="130" t="s">
        <v>942</v>
      </c>
      <c r="B511" s="59">
        <f>+B510+1</f>
        <v>503</v>
      </c>
      <c r="C511" s="102">
        <v>10.6</v>
      </c>
      <c r="D511" s="92" t="str">
        <f>+A511</f>
        <v>SHUMM'S TEST</v>
      </c>
      <c r="E511" s="130"/>
      <c r="T511" s="130" t="s">
        <v>936</v>
      </c>
      <c r="U511" s="108" t="s">
        <v>943</v>
      </c>
      <c r="V511" s="107">
        <v>3.1</v>
      </c>
    </row>
    <row r="512" spans="1:22">
      <c r="A512" s="130" t="s">
        <v>944</v>
      </c>
      <c r="B512" s="59">
        <f>+B511+1</f>
        <v>504</v>
      </c>
      <c r="C512" s="102">
        <v>8</v>
      </c>
      <c r="D512" s="92" t="str">
        <f>+A512</f>
        <v>SICKLE SCREEN (confirm sickledex)</v>
      </c>
      <c r="E512" s="130"/>
      <c r="T512" s="130" t="s">
        <v>938</v>
      </c>
      <c r="U512" s="111" t="s">
        <v>945</v>
      </c>
      <c r="V512" s="107">
        <v>75.9</v>
      </c>
    </row>
    <row r="513" spans="1:22">
      <c r="A513" s="130" t="s">
        <v>946</v>
      </c>
      <c r="B513" s="59">
        <f>+B512+1</f>
        <v>505</v>
      </c>
      <c r="C513" s="102">
        <v>26.3</v>
      </c>
      <c r="D513" s="92" t="str">
        <f>+A513</f>
        <v>SOLUBLE TRANSFERIN RECEPTOR</v>
      </c>
      <c r="E513" s="130"/>
      <c r="T513" s="130" t="s">
        <v>940</v>
      </c>
      <c r="U513" s="111" t="s">
        <v>947</v>
      </c>
      <c r="V513" s="107">
        <v>21.9</v>
      </c>
    </row>
    <row r="514" spans="1:22">
      <c r="A514" s="130" t="s">
        <v>899</v>
      </c>
      <c r="B514" s="59">
        <f>+B513+1</f>
        <v>506</v>
      </c>
      <c r="C514" s="102">
        <v>20</v>
      </c>
      <c r="D514" s="92" t="str">
        <f>+A514</f>
        <v>SUDAN BLACK STAIN</v>
      </c>
      <c r="E514" s="130"/>
      <c r="T514" s="130" t="s">
        <v>872</v>
      </c>
      <c r="U514" s="108" t="s">
        <v>948</v>
      </c>
      <c r="V514" s="107">
        <v>9.5</v>
      </c>
    </row>
    <row r="515" spans="1:22">
      <c r="A515" s="130" t="s">
        <v>928</v>
      </c>
      <c r="B515" s="59">
        <f>+B514+1</f>
        <v>507</v>
      </c>
      <c r="C515" s="102">
        <v>11.5</v>
      </c>
      <c r="D515" s="92" t="str">
        <f>+A515</f>
        <v>URINARY HAEMOSIDERIN /IRON STAIN</v>
      </c>
      <c r="E515" s="130"/>
      <c r="T515" s="130" t="s">
        <v>942</v>
      </c>
      <c r="U515" s="111" t="s">
        <v>949</v>
      </c>
      <c r="V515" s="107">
        <v>10.6</v>
      </c>
    </row>
    <row r="516" spans="1:22">
      <c r="A516" s="130" t="s">
        <v>950</v>
      </c>
      <c r="B516" s="59">
        <f>+B515+1</f>
        <v>508</v>
      </c>
      <c r="C516" s="102">
        <v>32.8</v>
      </c>
      <c r="D516" s="92" t="str">
        <f>+A516</f>
        <v>ANTITHROMBIN III ASSAY</v>
      </c>
      <c r="E516" s="130"/>
      <c r="T516" s="130" t="s">
        <v>944</v>
      </c>
      <c r="U516" s="108" t="s">
        <v>951</v>
      </c>
      <c r="V516" s="107">
        <v>8</v>
      </c>
    </row>
    <row r="517" spans="1:22">
      <c r="A517" s="130" t="s">
        <v>952</v>
      </c>
      <c r="B517" s="59">
        <f>+B516+1</f>
        <v>509</v>
      </c>
      <c r="C517" s="102">
        <v>4.7</v>
      </c>
      <c r="D517" s="92" t="str">
        <f>+A517</f>
        <v>APTR (50:50 CORRECTION)</v>
      </c>
      <c r="E517" s="130"/>
      <c r="T517" s="130" t="s">
        <v>946</v>
      </c>
      <c r="U517" s="108" t="s">
        <v>953</v>
      </c>
      <c r="V517" s="107">
        <v>26.3</v>
      </c>
    </row>
    <row r="518" spans="1:22">
      <c r="A518" s="130" t="s">
        <v>954</v>
      </c>
      <c r="B518" s="59">
        <f>+B517+1</f>
        <v>510</v>
      </c>
      <c r="C518" s="102">
        <v>30</v>
      </c>
      <c r="D518" s="92" t="str">
        <f>+A518</f>
        <v>BLEEDING TIME (IN VITRO)</v>
      </c>
      <c r="E518" s="131"/>
      <c r="T518" s="131" t="s">
        <v>955</v>
      </c>
      <c r="U518" s="108" t="s">
        <v>956</v>
      </c>
      <c r="V518" s="107">
        <v>35.4</v>
      </c>
    </row>
    <row r="519" spans="1:22">
      <c r="A519" s="130" t="s">
        <v>957</v>
      </c>
      <c r="B519" s="59">
        <f>+B518+1</f>
        <v>511</v>
      </c>
      <c r="C519" s="102">
        <v>49.6</v>
      </c>
      <c r="D519" s="92" t="str">
        <f>+A519</f>
        <v>BLEEDING TIME (IN VIVO)</v>
      </c>
      <c r="E519" s="130"/>
      <c r="T519" s="130" t="s">
        <v>867</v>
      </c>
      <c r="U519" s="108" t="s">
        <v>958</v>
      </c>
      <c r="V519" s="107">
        <v>3.3</v>
      </c>
    </row>
    <row r="520" spans="1:22">
      <c r="A520" s="130" t="s">
        <v>959</v>
      </c>
      <c r="B520" s="59">
        <f>+B519+1</f>
        <v>512</v>
      </c>
      <c r="C520" s="102">
        <v>41.3</v>
      </c>
      <c r="D520" s="92" t="str">
        <f>+A520</f>
        <v>FACTOR II ASSAY</v>
      </c>
      <c r="E520" s="130"/>
      <c r="T520" s="130" t="s">
        <v>950</v>
      </c>
      <c r="U520" s="111" t="s">
        <v>960</v>
      </c>
      <c r="V520" s="107">
        <v>32.8</v>
      </c>
    </row>
    <row r="521" spans="1:22">
      <c r="A521" s="130" t="s">
        <v>961</v>
      </c>
      <c r="B521" s="59">
        <f>+B520+1</f>
        <v>513</v>
      </c>
      <c r="C521" s="102">
        <v>37.9</v>
      </c>
      <c r="D521" s="92" t="str">
        <f>+A521</f>
        <v>FACTOR IX ASSAY</v>
      </c>
      <c r="E521" s="130"/>
      <c r="T521" s="130" t="s">
        <v>957</v>
      </c>
      <c r="U521" s="111" t="s">
        <v>962</v>
      </c>
      <c r="V521" s="107">
        <v>49.6</v>
      </c>
    </row>
    <row r="522" spans="1:22">
      <c r="A522" s="130" t="s">
        <v>963</v>
      </c>
      <c r="B522" s="59">
        <f>+B521+1</f>
        <v>514</v>
      </c>
      <c r="C522" s="102">
        <v>37.9</v>
      </c>
      <c r="D522" s="92" t="str">
        <f>+A522</f>
        <v>FACTOR IX INHIBITOR ASSAY (if this is inhib assay price is very wrong)</v>
      </c>
      <c r="E522" s="130"/>
      <c r="T522" s="130" t="s">
        <v>954</v>
      </c>
      <c r="U522" s="111" t="s">
        <v>964</v>
      </c>
      <c r="V522" s="107">
        <v>30</v>
      </c>
    </row>
    <row r="523" spans="1:22">
      <c r="A523" s="130" t="s">
        <v>965</v>
      </c>
      <c r="B523" s="59">
        <f>+B522+1</f>
        <v>515</v>
      </c>
      <c r="C523" s="102">
        <v>39.2</v>
      </c>
      <c r="D523" s="92" t="str">
        <f>+A523</f>
        <v>FACTOR V ASSAY</v>
      </c>
      <c r="E523" s="130"/>
      <c r="T523" s="130" t="s">
        <v>866</v>
      </c>
      <c r="U523" s="108" t="s">
        <v>966</v>
      </c>
      <c r="V523" s="107">
        <v>4.7</v>
      </c>
    </row>
    <row r="524" spans="1:22">
      <c r="A524" s="130" t="s">
        <v>967</v>
      </c>
      <c r="B524" s="59">
        <f>+B523+1</f>
        <v>516</v>
      </c>
      <c r="C524" s="102">
        <v>41.8</v>
      </c>
      <c r="D524" s="92" t="str">
        <f>+A524</f>
        <v>FACTOR VII ASSAY</v>
      </c>
      <c r="E524" s="130"/>
      <c r="T524" s="130" t="s">
        <v>869</v>
      </c>
      <c r="U524" s="108" t="s">
        <v>968</v>
      </c>
      <c r="V524" s="107">
        <v>10.9</v>
      </c>
    </row>
    <row r="525" spans="1:22">
      <c r="A525" s="130" t="s">
        <v>969</v>
      </c>
      <c r="B525" s="59">
        <f>+B524+1</f>
        <v>517</v>
      </c>
      <c r="C525" s="102">
        <v>38</v>
      </c>
      <c r="D525" s="92" t="str">
        <f>+A525</f>
        <v>FACTOR VIII ASSAY</v>
      </c>
      <c r="E525" s="130"/>
      <c r="T525" s="130" t="s">
        <v>970</v>
      </c>
      <c r="U525" s="111" t="s">
        <v>968</v>
      </c>
      <c r="V525" s="107">
        <v>10.9</v>
      </c>
    </row>
    <row r="526" spans="1:22">
      <c r="A526" s="130" t="s">
        <v>971</v>
      </c>
      <c r="B526" s="59">
        <f>+B525+1</f>
        <v>518</v>
      </c>
      <c r="C526" s="102">
        <v>38</v>
      </c>
      <c r="D526" s="92" t="str">
        <f>+A526</f>
        <v>FACTOR VIII INHIBITOR (if this is inhib assay -price is very wrong)</v>
      </c>
      <c r="E526" s="130"/>
      <c r="T526" s="130" t="s">
        <v>972</v>
      </c>
      <c r="U526" s="108" t="s">
        <v>973</v>
      </c>
      <c r="V526" s="107">
        <v>41.6</v>
      </c>
    </row>
    <row r="527" spans="1:22">
      <c r="A527" s="130" t="s">
        <v>972</v>
      </c>
      <c r="B527" s="59">
        <f>+B526+1</f>
        <v>519</v>
      </c>
      <c r="C527" s="102">
        <v>41.6</v>
      </c>
      <c r="D527" s="92" t="str">
        <f>+A527</f>
        <v>FACTOR X ASSAY</v>
      </c>
      <c r="E527" s="130"/>
      <c r="T527" s="130" t="s">
        <v>974</v>
      </c>
      <c r="U527" s="108" t="s">
        <v>975</v>
      </c>
      <c r="V527" s="107">
        <v>41.3</v>
      </c>
    </row>
    <row r="528" spans="1:22">
      <c r="A528" s="130" t="s">
        <v>974</v>
      </c>
      <c r="B528" s="59">
        <f>+B527+1</f>
        <v>520</v>
      </c>
      <c r="C528" s="102">
        <v>41.3</v>
      </c>
      <c r="D528" s="92" t="str">
        <f>+A528</f>
        <v>FACTOR XI ASSAY</v>
      </c>
      <c r="E528" s="130"/>
      <c r="T528" s="130" t="s">
        <v>976</v>
      </c>
      <c r="U528" s="108" t="s">
        <v>977</v>
      </c>
      <c r="V528" s="107">
        <v>41.7</v>
      </c>
    </row>
    <row r="529" spans="1:22">
      <c r="A529" s="130" t="s">
        <v>976</v>
      </c>
      <c r="B529" s="59">
        <f>+B528+1</f>
        <v>521</v>
      </c>
      <c r="C529" s="102">
        <v>41.7</v>
      </c>
      <c r="D529" s="92" t="str">
        <f>+A529</f>
        <v>FACTOR XII ASSAY</v>
      </c>
      <c r="E529" s="130"/>
      <c r="T529" s="130" t="s">
        <v>978</v>
      </c>
      <c r="U529" s="111" t="s">
        <v>979</v>
      </c>
      <c r="V529" s="107">
        <v>24.1</v>
      </c>
    </row>
    <row r="530" spans="1:22">
      <c r="A530" s="130" t="s">
        <v>978</v>
      </c>
      <c r="B530" s="59">
        <f>+B529+1</f>
        <v>522</v>
      </c>
      <c r="C530" s="102">
        <v>24.1</v>
      </c>
      <c r="D530" s="92" t="str">
        <f>+A530</f>
        <v>FACTOR XIII ASSAY</v>
      </c>
      <c r="E530" s="130"/>
      <c r="T530" s="130" t="s">
        <v>980</v>
      </c>
      <c r="U530" s="111" t="s">
        <v>981</v>
      </c>
      <c r="V530" s="107">
        <v>24.1</v>
      </c>
    </row>
    <row r="531" spans="1:22">
      <c r="A531" s="130" t="s">
        <v>980</v>
      </c>
      <c r="B531" s="59">
        <f>+B530+1</f>
        <v>523</v>
      </c>
      <c r="C531" s="102">
        <v>24.1</v>
      </c>
      <c r="D531" s="92" t="str">
        <f>+A531</f>
        <v>FACTOR XIII SCREEN</v>
      </c>
      <c r="E531" s="130"/>
      <c r="T531" s="130" t="s">
        <v>959</v>
      </c>
      <c r="U531" s="108" t="s">
        <v>982</v>
      </c>
      <c r="V531" s="107">
        <v>41.3</v>
      </c>
    </row>
    <row r="532" spans="1:22">
      <c r="A532" s="130" t="s">
        <v>970</v>
      </c>
      <c r="B532" s="59">
        <f>+B531+1</f>
        <v>524</v>
      </c>
      <c r="C532" s="102">
        <v>10.9</v>
      </c>
      <c r="D532" s="92" t="str">
        <f>+A532</f>
        <v>FIBRIN DEGRADATION PRODUCTS</v>
      </c>
      <c r="E532" s="130"/>
      <c r="T532" s="130" t="s">
        <v>965</v>
      </c>
      <c r="U532" s="108" t="s">
        <v>983</v>
      </c>
      <c r="V532" s="107">
        <v>39.2</v>
      </c>
    </row>
    <row r="533" spans="1:22">
      <c r="A533" s="130" t="s">
        <v>984</v>
      </c>
      <c r="B533" s="59">
        <f>+B532+1</f>
        <v>525</v>
      </c>
      <c r="C533" s="102">
        <v>30.1</v>
      </c>
      <c r="D533" s="92" t="str">
        <f>+A533</f>
        <v>FIBRINOGEN (ANTIGEN)</v>
      </c>
      <c r="E533" s="130"/>
      <c r="T533" s="130" t="s">
        <v>967</v>
      </c>
      <c r="U533" s="108" t="s">
        <v>985</v>
      </c>
      <c r="V533" s="107">
        <v>41.8</v>
      </c>
    </row>
    <row r="534" spans="1:22">
      <c r="A534" s="130" t="s">
        <v>986</v>
      </c>
      <c r="B534" s="59">
        <f>+B533+1</f>
        <v>526</v>
      </c>
      <c r="C534" s="102">
        <v>3.3</v>
      </c>
      <c r="D534" s="92" t="str">
        <f>+A534</f>
        <v>HEPARIN</v>
      </c>
      <c r="E534" s="130"/>
      <c r="T534" s="130" t="s">
        <v>969</v>
      </c>
      <c r="U534" s="108" t="s">
        <v>987</v>
      </c>
      <c r="V534" s="107">
        <v>38</v>
      </c>
    </row>
    <row r="535" spans="1:22">
      <c r="A535" s="131" t="s">
        <v>955</v>
      </c>
      <c r="B535" s="59">
        <f>+B534+1</f>
        <v>527</v>
      </c>
      <c r="C535" s="102">
        <v>35.4</v>
      </c>
      <c r="D535" s="92" t="str">
        <f>+A535</f>
        <v>HEPARIN ANTI-Xa ASSAY</v>
      </c>
      <c r="E535" s="130"/>
      <c r="T535" s="130" t="s">
        <v>971</v>
      </c>
      <c r="U535" s="108" t="s">
        <v>988</v>
      </c>
      <c r="V535" s="107">
        <v>38</v>
      </c>
    </row>
    <row r="536" spans="1:22">
      <c r="A536" s="130" t="s">
        <v>989</v>
      </c>
      <c r="B536" s="59">
        <f>+B535+1</f>
        <v>528</v>
      </c>
      <c r="C536" s="102">
        <v>36.4</v>
      </c>
      <c r="D536" s="92" t="str">
        <f>+A536</f>
        <v>INHIBITOR SCREEN</v>
      </c>
      <c r="E536" s="130"/>
      <c r="T536" s="130" t="s">
        <v>961</v>
      </c>
      <c r="U536" s="108" t="s">
        <v>990</v>
      </c>
      <c r="V536" s="107">
        <v>37.9</v>
      </c>
    </row>
    <row r="537" spans="1:22">
      <c r="A537" s="130" t="s">
        <v>991</v>
      </c>
      <c r="B537" s="59">
        <f>+B536+1</f>
        <v>529</v>
      </c>
      <c r="C537" s="102">
        <v>3.3</v>
      </c>
      <c r="D537" s="92" t="str">
        <f>+A537</f>
        <v>INR (50:50 CORRECTION)</v>
      </c>
      <c r="E537" s="130"/>
      <c r="T537" s="130" t="s">
        <v>963</v>
      </c>
      <c r="U537" s="108" t="s">
        <v>992</v>
      </c>
      <c r="V537" s="107">
        <v>37.9</v>
      </c>
    </row>
    <row r="538" spans="1:22">
      <c r="A538" s="130" t="s">
        <v>993</v>
      </c>
      <c r="B538" s="59">
        <f>+B537+1</f>
        <v>530</v>
      </c>
      <c r="C538" s="102">
        <v>46.8</v>
      </c>
      <c r="D538" s="92" t="str">
        <f>+A538</f>
        <v>LUPUS-LIKE ANTOCOAGULANT</v>
      </c>
      <c r="E538" s="130"/>
      <c r="T538" s="130" t="s">
        <v>984</v>
      </c>
      <c r="U538" s="111" t="s">
        <v>994</v>
      </c>
      <c r="V538" s="107">
        <v>30.1</v>
      </c>
    </row>
    <row r="539" spans="1:22">
      <c r="A539" s="130" t="s">
        <v>995</v>
      </c>
      <c r="B539" s="59">
        <f>+B538+1</f>
        <v>531</v>
      </c>
      <c r="C539" s="102">
        <v>34.3</v>
      </c>
      <c r="D539" s="92" t="str">
        <f>+A539</f>
        <v>PLASMINOGEN ASSAY</v>
      </c>
      <c r="E539" s="130"/>
      <c r="T539" s="130" t="s">
        <v>986</v>
      </c>
      <c r="U539" s="108" t="s">
        <v>996</v>
      </c>
      <c r="V539" s="107">
        <v>3.3</v>
      </c>
    </row>
    <row r="540" spans="1:22">
      <c r="A540" s="130" t="s">
        <v>997</v>
      </c>
      <c r="B540" s="59">
        <f>+B539+1</f>
        <v>532</v>
      </c>
      <c r="C540" s="102">
        <v>35.9</v>
      </c>
      <c r="D540" s="92" t="str">
        <f>+A540</f>
        <v>PLASMONOGEN ACTIVATOR INHIBITOR</v>
      </c>
      <c r="E540" s="130"/>
      <c r="T540" s="130" t="s">
        <v>989</v>
      </c>
      <c r="U540" s="111" t="s">
        <v>998</v>
      </c>
      <c r="V540" s="107">
        <v>36.4</v>
      </c>
    </row>
    <row r="541" spans="1:22">
      <c r="A541" s="130" t="s">
        <v>999</v>
      </c>
      <c r="B541" s="59">
        <f>+B540+1</f>
        <v>533</v>
      </c>
      <c r="C541" s="102">
        <v>60.1</v>
      </c>
      <c r="D541" s="92" t="str">
        <f>+A541</f>
        <v>PLATELET FUNCTION ANALYSIS (PFA100)</v>
      </c>
      <c r="E541" s="130"/>
      <c r="T541" s="130" t="s">
        <v>868</v>
      </c>
      <c r="U541" s="108" t="s">
        <v>1000</v>
      </c>
      <c r="V541" s="107">
        <v>3.3</v>
      </c>
    </row>
    <row r="542" spans="1:22">
      <c r="A542" s="130" t="s">
        <v>1001</v>
      </c>
      <c r="B542" s="59">
        <f>+B541+1</f>
        <v>534</v>
      </c>
      <c r="C542" s="102">
        <v>84.3</v>
      </c>
      <c r="D542" s="92" t="str">
        <f>+A542</f>
        <v>PLATLET AGGREGATION &amp; RISTOCETIN INDUCED PLATLET AGGREGATION</v>
      </c>
      <c r="E542" s="130"/>
      <c r="T542" s="130" t="s">
        <v>993</v>
      </c>
      <c r="U542" s="108" t="s">
        <v>1002</v>
      </c>
      <c r="V542" s="107">
        <v>46.8</v>
      </c>
    </row>
    <row r="543" spans="1:22">
      <c r="A543" s="130" t="s">
        <v>1003</v>
      </c>
      <c r="B543" s="59">
        <f>+B542+1</f>
        <v>535</v>
      </c>
      <c r="C543" s="102">
        <v>35.9</v>
      </c>
      <c r="D543" s="92" t="str">
        <f>+A543</f>
        <v>POST-OCCLUSION PLASMINOGEN ACTIVATOR ASSAY</v>
      </c>
      <c r="E543" s="130"/>
      <c r="T543" s="130" t="s">
        <v>1004</v>
      </c>
      <c r="U543" s="111" t="s">
        <v>1005</v>
      </c>
      <c r="V543" s="107">
        <v>2.9</v>
      </c>
    </row>
    <row r="544" spans="1:22">
      <c r="A544" s="130" t="s">
        <v>1006</v>
      </c>
      <c r="B544" s="59">
        <f>+B543+1</f>
        <v>536</v>
      </c>
      <c r="C544" s="102">
        <v>35.9</v>
      </c>
      <c r="D544" s="92" t="str">
        <f>+A544</f>
        <v>PRE-OCCLUSION PLASMINOGEN ACTIVATOR ASSAY</v>
      </c>
      <c r="E544" s="130"/>
      <c r="T544" s="130" t="s">
        <v>952</v>
      </c>
      <c r="U544" s="108" t="s">
        <v>1007</v>
      </c>
      <c r="V544" s="107">
        <v>4.7</v>
      </c>
    </row>
    <row r="545" spans="1:22">
      <c r="A545" s="130" t="s">
        <v>1008</v>
      </c>
      <c r="B545" s="59">
        <f>+B544+1</f>
        <v>537</v>
      </c>
      <c r="C545" s="102">
        <v>38</v>
      </c>
      <c r="D545" s="92" t="str">
        <f>+A545</f>
        <v>PROTEIN C ASSAY</v>
      </c>
      <c r="E545" s="130"/>
      <c r="T545" s="130" t="s">
        <v>991</v>
      </c>
      <c r="U545" s="111" t="s">
        <v>1009</v>
      </c>
      <c r="V545" s="107">
        <v>3.3</v>
      </c>
    </row>
    <row r="546" spans="1:22">
      <c r="A546" s="130" t="s">
        <v>1010</v>
      </c>
      <c r="B546" s="59">
        <f>+B545+1</f>
        <v>538</v>
      </c>
      <c r="C546" s="102">
        <v>39.7</v>
      </c>
      <c r="D546" s="92" t="str">
        <f>+A546</f>
        <v>PROTEIN S (FREE ANTIGEN)</v>
      </c>
      <c r="E546" s="132"/>
      <c r="T546" s="133" t="s">
        <v>1001</v>
      </c>
      <c r="U546" s="111" t="s">
        <v>1011</v>
      </c>
      <c r="V546" s="107">
        <v>84.3</v>
      </c>
    </row>
    <row r="547" spans="1:22">
      <c r="A547" s="130" t="s">
        <v>1012</v>
      </c>
      <c r="B547" s="59">
        <f>+B546+1</f>
        <v>539</v>
      </c>
      <c r="C547" s="102">
        <v>36.6</v>
      </c>
      <c r="D547" s="92" t="str">
        <f>+A547</f>
        <v>RISTIOCETIN CO-FACTOR ASSAY</v>
      </c>
      <c r="E547" s="132"/>
      <c r="T547" s="133" t="s">
        <v>999</v>
      </c>
      <c r="U547" s="111" t="s">
        <v>1013</v>
      </c>
      <c r="V547" s="107">
        <v>60.1</v>
      </c>
    </row>
    <row r="548" spans="1:22">
      <c r="A548" s="130" t="s">
        <v>1014</v>
      </c>
      <c r="B548" s="59">
        <f>+B547+1</f>
        <v>540</v>
      </c>
      <c r="C548" s="102">
        <v>8</v>
      </c>
      <c r="D548" s="92" t="str">
        <f>+A548</f>
        <v>RUSSEL VIPER VENOM ASSAY (WAS KCT)</v>
      </c>
      <c r="E548" s="134"/>
      <c r="T548" s="134" t="s">
        <v>1006</v>
      </c>
      <c r="U548" s="111" t="s">
        <v>1015</v>
      </c>
      <c r="V548" s="107">
        <v>35.9</v>
      </c>
    </row>
    <row r="549" spans="1:22">
      <c r="A549" s="130" t="s">
        <v>1016</v>
      </c>
      <c r="B549" s="59">
        <f>+B548+1</f>
        <v>541</v>
      </c>
      <c r="C549" s="102">
        <v>13.3</v>
      </c>
      <c r="D549" s="92" t="str">
        <f>+A549</f>
        <v>THROMBIN TIME</v>
      </c>
      <c r="E549" s="134"/>
      <c r="T549" s="134" t="s">
        <v>1003</v>
      </c>
      <c r="U549" s="111" t="s">
        <v>1015</v>
      </c>
      <c r="V549" s="107">
        <v>35.9</v>
      </c>
    </row>
    <row r="550" spans="1:22">
      <c r="A550" s="130" t="s">
        <v>1017</v>
      </c>
      <c r="B550" s="59">
        <f>+B549+1</f>
        <v>542</v>
      </c>
      <c r="C550" s="102">
        <v>36.6</v>
      </c>
      <c r="D550" s="92" t="str">
        <f>+A550</f>
        <v>VWF ACTIVITY</v>
      </c>
      <c r="E550" s="130"/>
      <c r="T550" s="130" t="s">
        <v>997</v>
      </c>
      <c r="U550" s="111" t="s">
        <v>1015</v>
      </c>
      <c r="V550" s="107">
        <v>35.9</v>
      </c>
    </row>
    <row r="551" spans="1:22">
      <c r="A551" s="130" t="s">
        <v>1018</v>
      </c>
      <c r="B551" s="59">
        <f>+B550+1</f>
        <v>543</v>
      </c>
      <c r="C551" s="102">
        <v>36.6</v>
      </c>
      <c r="D551" s="92" t="str">
        <f>+A551</f>
        <v>VWF ANTIGEN</v>
      </c>
      <c r="E551" s="130"/>
      <c r="T551" s="130" t="s">
        <v>1008</v>
      </c>
      <c r="U551" s="111" t="s">
        <v>1019</v>
      </c>
      <c r="V551" s="107">
        <v>38</v>
      </c>
    </row>
    <row r="552" spans="1:22">
      <c r="A552" s="130" t="s">
        <v>1004</v>
      </c>
      <c r="B552" s="59">
        <f>+B551+1</f>
        <v>544</v>
      </c>
      <c r="C552" s="102">
        <v>2.9</v>
      </c>
      <c r="D552" s="92" t="str">
        <f>+A552</f>
        <v>VWF MULTIMER BANDING (sent to Basingstoke)</v>
      </c>
      <c r="E552" s="130"/>
      <c r="T552" s="130" t="s">
        <v>995</v>
      </c>
      <c r="U552" s="111" t="s">
        <v>1020</v>
      </c>
      <c r="V552" s="107">
        <v>34.3</v>
      </c>
    </row>
    <row r="553" spans="1:22">
      <c r="A553" s="130" t="s">
        <v>1021</v>
      </c>
      <c r="B553" s="59">
        <f>+B552+1</f>
        <v>545</v>
      </c>
      <c r="C553" s="102">
        <v>3.3</v>
      </c>
      <c r="D553" s="92" t="str">
        <f>+A553</f>
        <v>WARFARIN</v>
      </c>
      <c r="E553" s="130"/>
      <c r="T553" s="130" t="s">
        <v>1010</v>
      </c>
      <c r="U553" s="111" t="s">
        <v>1022</v>
      </c>
      <c r="V553" s="107">
        <v>39.7</v>
      </c>
    </row>
    <row r="554" spans="1:22">
      <c r="A554" s="130" t="s">
        <v>1023</v>
      </c>
      <c r="B554" s="59">
        <f>+B553+1</f>
        <v>546</v>
      </c>
      <c r="C554" s="102">
        <v>4.7</v>
      </c>
      <c r="D554" s="92" t="str">
        <f>+A554</f>
        <v>WARFARIN + HEPARIN</v>
      </c>
      <c r="E554" s="130"/>
      <c r="T554" s="130" t="s">
        <v>1012</v>
      </c>
      <c r="U554" s="111" t="s">
        <v>1024</v>
      </c>
      <c r="V554" s="107">
        <v>36.6</v>
      </c>
    </row>
    <row r="555" spans="1:22">
      <c r="A555" s="130" t="s">
        <v>1025</v>
      </c>
      <c r="B555" s="59">
        <f>+B554+1</f>
        <v>547</v>
      </c>
      <c r="C555" s="102">
        <v>11</v>
      </c>
      <c r="D555" s="92" t="str">
        <f>+A555</f>
        <v>AUTOMATED GROUP &amp; SCREEN</v>
      </c>
      <c r="E555" s="130"/>
      <c r="T555" s="130" t="s">
        <v>1026</v>
      </c>
      <c r="U555" s="111" t="s">
        <v>1027</v>
      </c>
      <c r="V555" s="107">
        <v>12.8</v>
      </c>
    </row>
    <row r="556" spans="1:22">
      <c r="A556" s="130" t="s">
        <v>1028</v>
      </c>
      <c r="B556" s="59">
        <f>+B555+1</f>
        <v>548</v>
      </c>
      <c r="C556" s="102">
        <v>5.8</v>
      </c>
      <c r="D556" s="92" t="str">
        <f>+A556</f>
        <v>BLOOD GROUP (AUTOMATED)</v>
      </c>
      <c r="E556" s="130"/>
      <c r="T556" s="130" t="s">
        <v>1016</v>
      </c>
      <c r="U556" s="111" t="s">
        <v>1029</v>
      </c>
      <c r="V556" s="107">
        <v>13.3</v>
      </c>
    </row>
    <row r="557" spans="1:22">
      <c r="A557" s="130" t="s">
        <v>1030</v>
      </c>
      <c r="B557" s="59">
        <f>+B556+1</f>
        <v>549</v>
      </c>
      <c r="C557" s="102">
        <v>5.5</v>
      </c>
      <c r="D557" s="92" t="str">
        <f>+A557</f>
        <v>ANTIBODY SCREEN (AUTOMATED)</v>
      </c>
      <c r="E557" s="130"/>
      <c r="T557" s="130" t="s">
        <v>1017</v>
      </c>
      <c r="U557" s="111" t="s">
        <v>1031</v>
      </c>
      <c r="V557" s="107">
        <v>36.6</v>
      </c>
    </row>
    <row r="558" spans="1:22">
      <c r="A558" s="130" t="s">
        <v>1032</v>
      </c>
      <c r="B558" s="59">
        <f>+B557+1</f>
        <v>550</v>
      </c>
      <c r="C558" s="102">
        <v>26.3</v>
      </c>
      <c r="D558" s="92" t="str">
        <f>+A558</f>
        <v>ELECTRONIC CROSS MATCH</v>
      </c>
      <c r="E558" s="130"/>
      <c r="T558" s="130" t="s">
        <v>1021</v>
      </c>
      <c r="U558" s="108" t="s">
        <v>1033</v>
      </c>
      <c r="V558" s="107">
        <v>3.3</v>
      </c>
    </row>
    <row r="559" spans="1:22">
      <c r="A559" s="130" t="s">
        <v>1032</v>
      </c>
      <c r="B559" s="59">
        <f>+B558+1</f>
        <v>551</v>
      </c>
      <c r="C559" s="102">
        <v>26.3</v>
      </c>
      <c r="D559" s="92" t="str">
        <f>+A559</f>
        <v>ELECTRONIC CROSS MATCH</v>
      </c>
      <c r="E559" s="130"/>
      <c r="T559" s="130" t="s">
        <v>1018</v>
      </c>
      <c r="U559" s="111" t="s">
        <v>1034</v>
      </c>
      <c r="V559" s="107">
        <v>36.6</v>
      </c>
    </row>
    <row r="560" spans="1:22">
      <c r="A560" s="130" t="s">
        <v>1032</v>
      </c>
      <c r="B560" s="59">
        <f>+B559+1</f>
        <v>552</v>
      </c>
      <c r="C560" s="102">
        <v>26.3</v>
      </c>
      <c r="D560" s="92" t="str">
        <f>+A560</f>
        <v>ELECTRONIC CROSS MATCH</v>
      </c>
      <c r="E560" s="130"/>
      <c r="T560" s="130" t="s">
        <v>1023</v>
      </c>
      <c r="U560" s="108" t="s">
        <v>1035</v>
      </c>
      <c r="V560" s="107">
        <v>4.7</v>
      </c>
    </row>
    <row r="561" spans="1:22">
      <c r="A561" s="130" t="s">
        <v>1032</v>
      </c>
      <c r="B561" s="59">
        <f>+B560+1</f>
        <v>553</v>
      </c>
      <c r="C561" s="102">
        <v>26.3</v>
      </c>
      <c r="D561" s="92" t="str">
        <f>+A561</f>
        <v>ELECTRONIC CROSS MATCH</v>
      </c>
      <c r="E561" s="130"/>
      <c r="T561" s="130" t="s">
        <v>1036</v>
      </c>
      <c r="U561" s="135">
        <v>5050</v>
      </c>
      <c r="V561" s="107">
        <v>4.2</v>
      </c>
    </row>
    <row r="562" spans="1:22">
      <c r="A562" s="130" t="s">
        <v>1032</v>
      </c>
      <c r="B562" s="59">
        <f>+B561+1</f>
        <v>554</v>
      </c>
      <c r="C562" s="102">
        <v>26.3</v>
      </c>
      <c r="D562" s="92" t="str">
        <f>+A562</f>
        <v>ELECTRONIC CROSS MATCH</v>
      </c>
      <c r="E562" s="130"/>
      <c r="T562" s="130" t="s">
        <v>1037</v>
      </c>
      <c r="U562" s="108" t="s">
        <v>862</v>
      </c>
      <c r="V562" s="107">
        <v>44.3</v>
      </c>
    </row>
    <row r="563" spans="1:22">
      <c r="A563" s="130" t="s">
        <v>1032</v>
      </c>
      <c r="B563" s="59">
        <f>+B562+1</f>
        <v>555</v>
      </c>
      <c r="C563" s="102">
        <v>26.3</v>
      </c>
      <c r="D563" s="92" t="str">
        <f>+A563</f>
        <v>ELECTRONIC CROSS MATCH</v>
      </c>
      <c r="E563" s="130"/>
      <c r="T563" s="130" t="s">
        <v>1038</v>
      </c>
      <c r="U563" s="108" t="s">
        <v>1038</v>
      </c>
      <c r="V563" s="107">
        <v>35.1</v>
      </c>
    </row>
    <row r="564" spans="1:22">
      <c r="A564" s="130" t="s">
        <v>1036</v>
      </c>
      <c r="B564" s="59">
        <f>+B563+1</f>
        <v>556</v>
      </c>
      <c r="C564" s="102">
        <v>4.2</v>
      </c>
      <c r="D564" s="92" t="str">
        <f>+A564</f>
        <v>50:50 PLASMA NEUTRALISATION</v>
      </c>
      <c r="E564" s="130"/>
      <c r="T564" s="130" t="s">
        <v>1039</v>
      </c>
      <c r="U564" s="108" t="s">
        <v>1040</v>
      </c>
      <c r="V564" s="107">
        <v>7.9</v>
      </c>
    </row>
    <row r="565" spans="1:22">
      <c r="A565" s="130" t="s">
        <v>1037</v>
      </c>
      <c r="B565" s="59">
        <f>+B564+1</f>
        <v>557</v>
      </c>
      <c r="C565" s="102">
        <v>44.3</v>
      </c>
      <c r="D565" s="92" t="str">
        <f>+A565</f>
        <v>ACID ELUTION</v>
      </c>
      <c r="E565" s="130"/>
      <c r="T565" s="130" t="s">
        <v>1028</v>
      </c>
      <c r="U565" s="108" t="s">
        <v>1041</v>
      </c>
      <c r="V565" s="107">
        <v>5.8</v>
      </c>
    </row>
    <row r="566" spans="1:22">
      <c r="A566" s="130" t="s">
        <v>1038</v>
      </c>
      <c r="B566" s="59">
        <f>+B565+1</f>
        <v>558</v>
      </c>
      <c r="C566" s="102">
        <v>35.1</v>
      </c>
      <c r="D566" s="92" t="str">
        <f>+A566</f>
        <v>AET</v>
      </c>
      <c r="E566" s="130"/>
      <c r="T566" s="130" t="s">
        <v>1025</v>
      </c>
      <c r="U566" s="108" t="s">
        <v>1042</v>
      </c>
      <c r="V566" s="107">
        <v>11</v>
      </c>
    </row>
    <row r="567" spans="1:22">
      <c r="A567" s="130" t="s">
        <v>1039</v>
      </c>
      <c r="B567" s="59">
        <f>+B566+1</f>
        <v>559</v>
      </c>
      <c r="C567" s="102">
        <v>7.9</v>
      </c>
      <c r="D567" s="92" t="str">
        <f>+A567</f>
        <v>COLD AGGLUTININ SCREEN</v>
      </c>
      <c r="E567" s="131"/>
      <c r="T567" s="131" t="s">
        <v>870</v>
      </c>
      <c r="U567" s="108" t="s">
        <v>1043</v>
      </c>
      <c r="V567" s="107">
        <v>11.5</v>
      </c>
    </row>
    <row r="568" spans="1:22">
      <c r="A568" s="131" t="s">
        <v>1044</v>
      </c>
      <c r="B568" s="59">
        <f>+B567+1</f>
        <v>560</v>
      </c>
      <c r="C568" s="102">
        <v>7.7</v>
      </c>
      <c r="D568" s="92" t="str">
        <f>+A568</f>
        <v>T-ACTIVATED RED CELLS</v>
      </c>
      <c r="E568" s="131"/>
      <c r="T568" s="131" t="s">
        <v>1045</v>
      </c>
      <c r="U568" s="111" t="s">
        <v>1046</v>
      </c>
      <c r="V568" s="107">
        <v>9.2</v>
      </c>
    </row>
    <row r="569" spans="1:22">
      <c r="A569" s="131" t="s">
        <v>1045</v>
      </c>
      <c r="B569" s="59">
        <f>+B568+1</f>
        <v>561</v>
      </c>
      <c r="C569" s="102">
        <v>9.2</v>
      </c>
      <c r="D569" s="92" t="str">
        <f>+A569</f>
        <v>ANTIBODY REFERRAL</v>
      </c>
      <c r="E569" s="131"/>
      <c r="T569" s="131" t="s">
        <v>1030</v>
      </c>
      <c r="U569" s="108" t="s">
        <v>1047</v>
      </c>
      <c r="V569" s="107">
        <v>5.5</v>
      </c>
    </row>
    <row r="570" spans="1:22">
      <c r="A570" s="130" t="s">
        <v>1048</v>
      </c>
      <c r="B570" s="59">
        <f>+B569+1</f>
        <v>562</v>
      </c>
      <c r="C570" s="102">
        <v>44.3</v>
      </c>
      <c r="D570" s="92" t="str">
        <f>+A570</f>
        <v>BIRMINGHAM IAG PANEL</v>
      </c>
      <c r="E570" s="130"/>
      <c r="T570" s="130" t="s">
        <v>1048</v>
      </c>
      <c r="U570" s="108" t="s">
        <v>1049</v>
      </c>
      <c r="V570" s="107">
        <v>44.3</v>
      </c>
    </row>
    <row r="571" spans="1:22">
      <c r="A571" s="130" t="s">
        <v>1050</v>
      </c>
      <c r="B571" s="59">
        <f>+B570+1</f>
        <v>563</v>
      </c>
      <c r="C571" s="102">
        <v>44.3</v>
      </c>
      <c r="D571" s="92" t="str">
        <f>+A571</f>
        <v>BIRMINGHAM ENZYME PANEL</v>
      </c>
      <c r="E571" s="130"/>
      <c r="T571" s="130" t="s">
        <v>1050</v>
      </c>
      <c r="U571" s="108" t="s">
        <v>1051</v>
      </c>
      <c r="V571" s="107">
        <v>44.3</v>
      </c>
    </row>
    <row r="572" spans="1:22">
      <c r="A572" s="130" t="s">
        <v>1052</v>
      </c>
      <c r="B572" s="59">
        <f>+B571+1</f>
        <v>564</v>
      </c>
      <c r="C572" s="102">
        <v>44.3</v>
      </c>
      <c r="D572" s="92" t="str">
        <f>+A572</f>
        <v>CAMBRIDGE IAG PANEL</v>
      </c>
      <c r="E572" s="130"/>
      <c r="T572" s="130" t="s">
        <v>1052</v>
      </c>
      <c r="U572" s="108" t="s">
        <v>1053</v>
      </c>
      <c r="V572" s="107">
        <v>44.3</v>
      </c>
    </row>
    <row r="573" spans="1:22">
      <c r="A573" s="130" t="s">
        <v>1054</v>
      </c>
      <c r="B573" s="59">
        <f>+B572+1</f>
        <v>565</v>
      </c>
      <c r="C573" s="102">
        <v>44.3</v>
      </c>
      <c r="D573" s="92" t="str">
        <f>+A573</f>
        <v>CAMBRIDGE ENZYME PANEL</v>
      </c>
      <c r="E573" s="130"/>
      <c r="T573" s="130" t="s">
        <v>1054</v>
      </c>
      <c r="U573" s="108" t="s">
        <v>1055</v>
      </c>
      <c r="V573" s="107">
        <v>44.3</v>
      </c>
    </row>
    <row r="574" spans="1:22">
      <c r="A574" s="130" t="s">
        <v>1056</v>
      </c>
      <c r="B574" s="59">
        <f>+B573+1</f>
        <v>566</v>
      </c>
      <c r="C574" s="102">
        <v>32.5</v>
      </c>
      <c r="D574" s="92" t="str">
        <f>+A574</f>
        <v>CROSS MATCH</v>
      </c>
      <c r="E574" s="130"/>
      <c r="T574" s="130" t="s">
        <v>1056</v>
      </c>
      <c r="U574" s="108" t="s">
        <v>1057</v>
      </c>
      <c r="V574" s="107">
        <v>32.5</v>
      </c>
    </row>
    <row r="575" spans="1:22">
      <c r="A575" s="130" t="s">
        <v>1056</v>
      </c>
      <c r="B575" s="59">
        <f>+B574+1</f>
        <v>567</v>
      </c>
      <c r="C575" s="102">
        <v>64.7</v>
      </c>
      <c r="D575" s="92" t="str">
        <f>+A575</f>
        <v>CROSS MATCH</v>
      </c>
      <c r="E575" s="130"/>
      <c r="T575" s="130" t="s">
        <v>1056</v>
      </c>
      <c r="U575" s="108" t="s">
        <v>1058</v>
      </c>
      <c r="V575" s="107">
        <v>64.7</v>
      </c>
    </row>
    <row r="576" spans="1:22">
      <c r="A576" s="130" t="s">
        <v>1056</v>
      </c>
      <c r="B576" s="59">
        <f>+B575+1</f>
        <v>568</v>
      </c>
      <c r="C576" s="102">
        <v>97</v>
      </c>
      <c r="D576" s="92" t="str">
        <f>+A576</f>
        <v>CROSS MATCH</v>
      </c>
      <c r="E576" s="130"/>
      <c r="T576" s="130" t="s">
        <v>1056</v>
      </c>
      <c r="U576" s="108" t="s">
        <v>1059</v>
      </c>
      <c r="V576" s="107">
        <v>97</v>
      </c>
    </row>
    <row r="577" spans="1:22">
      <c r="A577" s="130" t="s">
        <v>1056</v>
      </c>
      <c r="B577" s="59">
        <f>+B576+1</f>
        <v>569</v>
      </c>
      <c r="C577" s="102">
        <v>129.3</v>
      </c>
      <c r="D577" s="92" t="str">
        <f>+A577</f>
        <v>CROSS MATCH</v>
      </c>
      <c r="E577" s="130"/>
      <c r="T577" s="130" t="s">
        <v>1056</v>
      </c>
      <c r="U577" s="108" t="s">
        <v>1060</v>
      </c>
      <c r="V577" s="107">
        <v>129.3</v>
      </c>
    </row>
    <row r="578" spans="1:22">
      <c r="A578" s="130" t="s">
        <v>1056</v>
      </c>
      <c r="B578" s="59">
        <f>+B577+1</f>
        <v>570</v>
      </c>
      <c r="C578" s="102">
        <v>161.6</v>
      </c>
      <c r="D578" s="92" t="str">
        <f>+A578</f>
        <v>CROSS MATCH</v>
      </c>
      <c r="E578" s="130"/>
      <c r="T578" s="130" t="s">
        <v>1056</v>
      </c>
      <c r="U578" s="108" t="s">
        <v>1061</v>
      </c>
      <c r="V578" s="107">
        <v>161.6</v>
      </c>
    </row>
    <row r="579" spans="1:22">
      <c r="A579" s="130" t="s">
        <v>1062</v>
      </c>
      <c r="B579" s="59">
        <f>+B578+1</f>
        <v>571</v>
      </c>
      <c r="C579" s="102">
        <v>5.5</v>
      </c>
      <c r="D579" s="92" t="str">
        <f>+A579</f>
        <v>COOMBES TEST - DIRECT</v>
      </c>
      <c r="E579" s="130"/>
      <c r="T579" s="130" t="s">
        <v>1062</v>
      </c>
      <c r="U579" s="108" t="s">
        <v>1063</v>
      </c>
      <c r="V579" s="107">
        <v>5.5</v>
      </c>
    </row>
    <row r="580" spans="1:22">
      <c r="A580" s="130" t="s">
        <v>1064</v>
      </c>
      <c r="B580" s="59">
        <f>+B579+1</f>
        <v>572</v>
      </c>
      <c r="C580" s="102">
        <v>44.3</v>
      </c>
      <c r="D580" s="92" t="str">
        <f>+A580</f>
        <v>DIAMED IAG PANEL</v>
      </c>
      <c r="E580" s="130"/>
      <c r="T580" s="130" t="s">
        <v>1064</v>
      </c>
      <c r="U580" s="108" t="s">
        <v>1065</v>
      </c>
      <c r="V580" s="107">
        <v>44.3</v>
      </c>
    </row>
    <row r="581" spans="1:22">
      <c r="A581" s="130" t="s">
        <v>1066</v>
      </c>
      <c r="B581" s="59">
        <f>+B580+1</f>
        <v>573</v>
      </c>
      <c r="C581" s="102">
        <v>44.3</v>
      </c>
      <c r="D581" s="92" t="str">
        <f>+A581</f>
        <v>DIAMED ENZYME PANEL</v>
      </c>
      <c r="E581" s="130"/>
      <c r="T581" s="130" t="s">
        <v>1066</v>
      </c>
      <c r="U581" s="108" t="s">
        <v>1067</v>
      </c>
      <c r="V581" s="107">
        <v>44.3</v>
      </c>
    </row>
    <row r="582" spans="1:22">
      <c r="A582" s="130" t="s">
        <v>1068</v>
      </c>
      <c r="B582" s="59">
        <f>+B581+1</f>
        <v>574</v>
      </c>
      <c r="C582" s="102">
        <v>7.7</v>
      </c>
      <c r="D582" s="92" t="str">
        <f>+A582</f>
        <v>DUFFY PHENOTYPE</v>
      </c>
      <c r="E582" s="130"/>
      <c r="T582" s="130" t="s">
        <v>1068</v>
      </c>
      <c r="U582" s="108" t="s">
        <v>1069</v>
      </c>
      <c r="V582" s="107">
        <v>7.7</v>
      </c>
    </row>
    <row r="583" spans="1:22">
      <c r="A583" s="130" t="s">
        <v>1070</v>
      </c>
      <c r="B583" s="59">
        <f>+B582+1</f>
        <v>575</v>
      </c>
      <c r="C583" s="102">
        <v>14.3</v>
      </c>
      <c r="D583" s="92" t="str">
        <f>+A583</f>
        <v>EMERGENCY O Rh NEG ISSUE</v>
      </c>
      <c r="E583" s="130"/>
      <c r="T583" s="130" t="s">
        <v>1070</v>
      </c>
      <c r="U583" s="108" t="s">
        <v>1071</v>
      </c>
      <c r="V583" s="107">
        <v>14.3</v>
      </c>
    </row>
    <row r="584" spans="1:22">
      <c r="A584" s="130" t="s">
        <v>1072</v>
      </c>
      <c r="B584" s="59">
        <f>+B583+1</f>
        <v>576</v>
      </c>
      <c r="C584" s="102">
        <v>44.3</v>
      </c>
      <c r="D584" s="92" t="str">
        <f>+A584</f>
        <v>HEPARIN INDUCED THROMBOCYTOPENIA</v>
      </c>
      <c r="E584" s="130"/>
      <c r="T584" s="130" t="s">
        <v>1032</v>
      </c>
      <c r="U584" s="108" t="s">
        <v>1073</v>
      </c>
      <c r="V584" s="107">
        <v>26.3</v>
      </c>
    </row>
    <row r="585" spans="1:22">
      <c r="A585" s="130" t="s">
        <v>1074</v>
      </c>
      <c r="B585" s="59">
        <f>+B584+1</f>
        <v>577</v>
      </c>
      <c r="C585" s="102">
        <v>9.2</v>
      </c>
      <c r="D585" s="92" t="str">
        <f>+A585</f>
        <v>HLA CYTOTOXIC ANTIBODY SCREEN (NBS)</v>
      </c>
      <c r="E585" s="130"/>
      <c r="T585" s="130" t="s">
        <v>1032</v>
      </c>
      <c r="U585" s="108" t="s">
        <v>1075</v>
      </c>
      <c r="V585" s="107">
        <v>26.3</v>
      </c>
    </row>
    <row r="586" spans="1:22">
      <c r="A586" s="130" t="s">
        <v>1076</v>
      </c>
      <c r="B586" s="59">
        <f>+B585+1</f>
        <v>578</v>
      </c>
      <c r="C586" s="102">
        <v>7.7</v>
      </c>
      <c r="D586" s="92" t="str">
        <f>+A586</f>
        <v>KPA TYPE</v>
      </c>
      <c r="E586" s="130"/>
      <c r="T586" s="130" t="s">
        <v>1032</v>
      </c>
      <c r="U586" s="108" t="s">
        <v>1077</v>
      </c>
      <c r="V586" s="107">
        <v>26.3</v>
      </c>
    </row>
    <row r="587" spans="1:22">
      <c r="A587" s="130" t="s">
        <v>1078</v>
      </c>
      <c r="B587" s="59">
        <f>+B586+1</f>
        <v>579</v>
      </c>
      <c r="C587" s="102">
        <v>7.7</v>
      </c>
      <c r="D587" s="92" t="str">
        <f>+A587</f>
        <v>KIDD PHENOTYPE</v>
      </c>
      <c r="E587" s="130"/>
      <c r="T587" s="130" t="s">
        <v>1032</v>
      </c>
      <c r="U587" s="108" t="s">
        <v>1079</v>
      </c>
      <c r="V587" s="107">
        <v>26.3</v>
      </c>
    </row>
    <row r="588" spans="1:22">
      <c r="A588" s="130" t="s">
        <v>1080</v>
      </c>
      <c r="B588" s="59">
        <f>+B587+1</f>
        <v>580</v>
      </c>
      <c r="C588" s="102">
        <v>25.2</v>
      </c>
      <c r="D588" s="92" t="str">
        <f>+A588</f>
        <v>KLEIHAUER TEST</v>
      </c>
      <c r="E588" s="130"/>
      <c r="T588" s="130" t="s">
        <v>1032</v>
      </c>
      <c r="U588" s="108" t="s">
        <v>1081</v>
      </c>
      <c r="V588" s="107">
        <v>26.3</v>
      </c>
    </row>
    <row r="589" spans="1:22">
      <c r="A589" s="130" t="s">
        <v>1082</v>
      </c>
      <c r="B589" s="59">
        <f>+B588+1</f>
        <v>581</v>
      </c>
      <c r="C589" s="102">
        <v>7.7</v>
      </c>
      <c r="D589" s="92" t="str">
        <f>+A589</f>
        <v>ANTI-KPA</v>
      </c>
      <c r="E589" s="130"/>
      <c r="T589" s="130" t="s">
        <v>1032</v>
      </c>
      <c r="U589" s="108" t="s">
        <v>1083</v>
      </c>
      <c r="V589" s="107">
        <v>26.3</v>
      </c>
    </row>
    <row r="590" spans="1:22">
      <c r="A590" s="130" t="s">
        <v>1084</v>
      </c>
      <c r="B590" s="59">
        <f>+B589+1</f>
        <v>582</v>
      </c>
      <c r="C590" s="102">
        <v>9.9</v>
      </c>
      <c r="D590" s="92" t="str">
        <f>+A590</f>
        <v>ANTIBODY SCREEN (MANUAL)</v>
      </c>
      <c r="E590" s="130"/>
      <c r="T590" s="130" t="s">
        <v>1085</v>
      </c>
      <c r="U590" s="108" t="s">
        <v>1086</v>
      </c>
      <c r="V590" s="107">
        <v>44.3</v>
      </c>
    </row>
    <row r="591" spans="1:22">
      <c r="A591" s="130" t="s">
        <v>1087</v>
      </c>
      <c r="B591" s="59">
        <f>+B590+1</f>
        <v>583</v>
      </c>
      <c r="C591" s="102">
        <v>12.9</v>
      </c>
      <c r="D591" s="92" t="str">
        <f>+A591</f>
        <v>COOMBES TEST - MONOSPECIFIC</v>
      </c>
      <c r="E591" s="130"/>
      <c r="T591" s="130" t="s">
        <v>1074</v>
      </c>
      <c r="U591" s="108" t="s">
        <v>1088</v>
      </c>
      <c r="V591" s="107">
        <v>9.2</v>
      </c>
    </row>
    <row r="592" spans="1:22">
      <c r="A592" s="130" t="s">
        <v>1089</v>
      </c>
      <c r="B592" s="59">
        <f>+B591+1</f>
        <v>584</v>
      </c>
      <c r="C592" s="102">
        <v>8</v>
      </c>
      <c r="D592" s="92" t="str">
        <f>+A592</f>
        <v>BLOOD GROUP (MANUAL)</v>
      </c>
      <c r="E592" s="130"/>
      <c r="T592" s="130" t="s">
        <v>1076</v>
      </c>
      <c r="U592" s="111" t="s">
        <v>1090</v>
      </c>
      <c r="V592" s="107">
        <v>7.7</v>
      </c>
    </row>
    <row r="593" spans="1:22">
      <c r="A593" s="130" t="s">
        <v>1091</v>
      </c>
      <c r="B593" s="59">
        <f>+B592+1</f>
        <v>585</v>
      </c>
      <c r="C593" s="102">
        <v>15.2</v>
      </c>
      <c r="D593" s="92" t="str">
        <f>+A593</f>
        <v>M TYPE / N TYPE</v>
      </c>
      <c r="E593" s="130"/>
      <c r="T593" s="130" t="s">
        <v>1078</v>
      </c>
      <c r="U593" s="108" t="s">
        <v>1092</v>
      </c>
      <c r="V593" s="107">
        <v>7.7</v>
      </c>
    </row>
    <row r="594" spans="1:22">
      <c r="A594" s="130" t="s">
        <v>1093</v>
      </c>
      <c r="B594" s="59">
        <f>+B593+1</f>
        <v>586</v>
      </c>
      <c r="C594" s="102">
        <v>44.3</v>
      </c>
      <c r="D594" s="92" t="str">
        <f>+A594</f>
        <v>NATIONAL BLOOD SERVICE ENZYME PANEL</v>
      </c>
      <c r="E594" s="130"/>
      <c r="T594" s="130" t="s">
        <v>1080</v>
      </c>
      <c r="U594" s="108" t="s">
        <v>1094</v>
      </c>
      <c r="V594" s="107">
        <v>25.2</v>
      </c>
    </row>
    <row r="595" spans="1:22">
      <c r="A595" s="130" t="s">
        <v>1095</v>
      </c>
      <c r="B595" s="59">
        <f>+B594+1</f>
        <v>587</v>
      </c>
      <c r="C595" s="102">
        <v>0</v>
      </c>
      <c r="D595" s="92" t="str">
        <f>+A595</f>
        <v>NEUTROPHIL SEROLOGY (NBS)</v>
      </c>
      <c r="E595" s="130"/>
      <c r="T595" s="130" t="s">
        <v>1082</v>
      </c>
      <c r="U595" s="111" t="s">
        <v>1096</v>
      </c>
      <c r="V595" s="107">
        <v>7.7</v>
      </c>
    </row>
    <row r="596" spans="1:22">
      <c r="A596" s="130" t="s">
        <v>1097</v>
      </c>
      <c r="B596" s="59">
        <f>+B595+1</f>
        <v>588</v>
      </c>
      <c r="C596" s="102">
        <v>44.3</v>
      </c>
      <c r="D596" s="92" t="str">
        <f>+A596</f>
        <v>NATIONAL BLOOD SERVICE IAG PANEL</v>
      </c>
      <c r="E596" s="130"/>
      <c r="T596" s="130" t="s">
        <v>1084</v>
      </c>
      <c r="U596" s="108" t="s">
        <v>1098</v>
      </c>
      <c r="V596" s="107">
        <v>9.9</v>
      </c>
    </row>
    <row r="597" spans="1:22">
      <c r="A597" s="130" t="s">
        <v>1099</v>
      </c>
      <c r="B597" s="59">
        <f>+B596+1</f>
        <v>589</v>
      </c>
      <c r="C597" s="102">
        <v>0</v>
      </c>
      <c r="D597" s="92" t="str">
        <f>+A597</f>
        <v>PLATELET SEROLOGY (NBS)</v>
      </c>
      <c r="E597" s="130"/>
      <c r="T597" s="130" t="s">
        <v>1087</v>
      </c>
      <c r="U597" s="108" t="s">
        <v>1100</v>
      </c>
      <c r="V597" s="107">
        <v>12.9</v>
      </c>
    </row>
    <row r="598" spans="1:22">
      <c r="A598" s="130" t="s">
        <v>1101</v>
      </c>
      <c r="B598" s="59">
        <f>+B597+1</f>
        <v>590</v>
      </c>
      <c r="C598" s="102">
        <v>0</v>
      </c>
      <c r="D598" s="92" t="str">
        <f>+A598</f>
        <v>ANTIBODY QUANTITATION (NBS)</v>
      </c>
      <c r="E598" s="130"/>
      <c r="T598" s="130" t="s">
        <v>1089</v>
      </c>
      <c r="U598" s="108" t="s">
        <v>1102</v>
      </c>
      <c r="V598" s="107">
        <v>8</v>
      </c>
    </row>
    <row r="599" spans="1:22">
      <c r="A599" s="130" t="s">
        <v>1103</v>
      </c>
      <c r="B599" s="59">
        <f>+B598+1</f>
        <v>591</v>
      </c>
      <c r="C599" s="102">
        <v>22.8</v>
      </c>
      <c r="D599" s="92" t="str">
        <f>+A599</f>
        <v>RHESUS PENOTYPE</v>
      </c>
      <c r="E599" s="130"/>
      <c r="T599" s="130" t="s">
        <v>1091</v>
      </c>
      <c r="U599" s="111" t="s">
        <v>1104</v>
      </c>
      <c r="V599" s="107">
        <v>15.2</v>
      </c>
    </row>
    <row r="600" spans="1:22">
      <c r="A600" s="130" t="s">
        <v>1105</v>
      </c>
      <c r="B600" s="59">
        <f>+B599+1</f>
        <v>592</v>
      </c>
      <c r="C600" s="102">
        <v>0</v>
      </c>
      <c r="D600" s="92" t="str">
        <f>+A600</f>
        <v>ROOM TEMP PANEL (BIRMINGHAM)</v>
      </c>
      <c r="E600" s="130"/>
      <c r="T600" s="130" t="s">
        <v>1093</v>
      </c>
      <c r="U600" s="108" t="s">
        <v>1106</v>
      </c>
      <c r="V600" s="107">
        <v>44.3</v>
      </c>
    </row>
    <row r="601" spans="1:22">
      <c r="A601" s="130" t="s">
        <v>1107</v>
      </c>
      <c r="B601" s="59">
        <f>+B600+1</f>
        <v>593</v>
      </c>
      <c r="C601" s="102">
        <v>0</v>
      </c>
      <c r="D601" s="92" t="str">
        <f>+A601</f>
        <v>ROOM TEMP PANEL (DIAMED)</v>
      </c>
      <c r="E601" s="130"/>
      <c r="T601" s="130" t="s">
        <v>1097</v>
      </c>
      <c r="U601" s="108" t="s">
        <v>1108</v>
      </c>
      <c r="V601" s="107">
        <v>44.3</v>
      </c>
    </row>
    <row r="602" spans="1:22">
      <c r="A602" s="130" t="s">
        <v>1109</v>
      </c>
      <c r="B602" s="59">
        <f>+B601+1</f>
        <v>594</v>
      </c>
      <c r="C602" s="102">
        <v>50.6</v>
      </c>
      <c r="D602" s="92" t="str">
        <f>+A602</f>
        <v>COLD AGGLUTININ TITRE</v>
      </c>
      <c r="E602" s="130"/>
      <c r="T602" s="130" t="s">
        <v>1103</v>
      </c>
      <c r="U602" s="108" t="s">
        <v>1110</v>
      </c>
      <c r="V602" s="107">
        <v>22.8</v>
      </c>
    </row>
    <row r="603" spans="1:22">
      <c r="A603" s="130" t="s">
        <v>1111</v>
      </c>
      <c r="B603" s="59">
        <f>+B602+1</f>
        <v>595</v>
      </c>
      <c r="C603" s="102">
        <v>15.2</v>
      </c>
      <c r="D603" s="92" t="str">
        <f>+A603</f>
        <v>SS TYPE</v>
      </c>
      <c r="E603" s="130"/>
      <c r="T603" s="130" t="s">
        <v>1109</v>
      </c>
      <c r="U603" s="111" t="s">
        <v>1112</v>
      </c>
      <c r="V603" s="107">
        <v>50.6</v>
      </c>
    </row>
    <row r="604" spans="1:22">
      <c r="A604" s="130" t="s">
        <v>1113</v>
      </c>
      <c r="B604" s="59">
        <f>+B603+1</f>
        <v>596</v>
      </c>
      <c r="C604" s="102">
        <v>0</v>
      </c>
      <c r="D604" s="92" t="str">
        <f>+A604</f>
        <v>ANTIBODY TITRE (NBS)</v>
      </c>
      <c r="E604" s="130"/>
      <c r="T604" s="130" t="s">
        <v>1111</v>
      </c>
      <c r="U604" s="108" t="s">
        <v>1114</v>
      </c>
      <c r="V604" s="107">
        <v>15.2</v>
      </c>
    </row>
    <row r="605" spans="1:22">
      <c r="A605" s="130" t="s">
        <v>1113</v>
      </c>
      <c r="B605" s="59">
        <f>+B604+1</f>
        <v>597</v>
      </c>
      <c r="C605" s="102">
        <v>0</v>
      </c>
      <c r="D605" s="92" t="str">
        <f>+A605</f>
        <v>ANTIBODY TITRE (NBS)</v>
      </c>
      <c r="E605" s="130"/>
      <c r="T605" s="130" t="s">
        <v>1115</v>
      </c>
      <c r="U605" s="111" t="s">
        <v>1116</v>
      </c>
      <c r="V605" s="107">
        <v>44.3</v>
      </c>
    </row>
    <row r="606" spans="1:22">
      <c r="A606" s="130" t="s">
        <v>1115</v>
      </c>
      <c r="B606" s="59">
        <f>+B605+1</f>
        <v>598</v>
      </c>
      <c r="C606" s="102">
        <v>44.3</v>
      </c>
      <c r="D606" s="92" t="str">
        <f>+A606</f>
        <v>IAT PANEL  POST ZZAP</v>
      </c>
      <c r="E606" s="130"/>
      <c r="T606" s="130" t="s">
        <v>1044</v>
      </c>
      <c r="U606" s="111" t="s">
        <v>1117</v>
      </c>
      <c r="V606" s="107">
        <v>7.7</v>
      </c>
    </row>
    <row r="607" spans="1:22" ht="13">
      <c r="A607" s="136" t="s">
        <v>1118</v>
      </c>
      <c r="B607" s="59">
        <f>+B606+1</f>
        <v>599</v>
      </c>
      <c r="C607" s="102">
        <f>+V607</f>
        <v>0</v>
      </c>
      <c r="D607" s="92" t="str">
        <f>+A607</f>
        <v>IMMUNOLOGY</v>
      </c>
      <c r="E607" s="104"/>
      <c r="T607" s="136" t="s">
        <v>1118</v>
      </c>
      <c r="U607" s="108"/>
      <c r="V607" s="107"/>
    </row>
    <row r="608" spans="1:22">
      <c r="A608" s="137" t="s">
        <v>1119</v>
      </c>
      <c r="B608" s="59">
        <f>+B607+1</f>
        <v>600</v>
      </c>
      <c r="C608" s="102">
        <v>8.9</v>
      </c>
      <c r="D608" s="92" t="str">
        <f>+A608</f>
        <v>ADRENAL ANTIBODIES</v>
      </c>
      <c r="E608" s="138"/>
      <c r="T608" s="138" t="s">
        <v>1120</v>
      </c>
      <c r="U608" s="108" t="s">
        <v>1121</v>
      </c>
      <c r="V608" s="107">
        <v>28.1</v>
      </c>
    </row>
    <row r="609" spans="1:22">
      <c r="A609" s="137" t="s">
        <v>1122</v>
      </c>
      <c r="B609" s="59">
        <f>+B608+1</f>
        <v>601</v>
      </c>
      <c r="C609" s="102">
        <v>5.6</v>
      </c>
      <c r="D609" s="92" t="str">
        <f>+A609</f>
        <v>ANA (see connective tissue ANA screen)</v>
      </c>
      <c r="E609" s="139"/>
      <c r="T609" s="139" t="s">
        <v>1119</v>
      </c>
      <c r="U609" s="108" t="s">
        <v>1123</v>
      </c>
      <c r="V609" s="107">
        <v>8.9</v>
      </c>
    </row>
    <row r="610" spans="1:22">
      <c r="A610" s="137" t="s">
        <v>1124</v>
      </c>
      <c r="B610" s="59">
        <f>+B609+1</f>
        <v>602</v>
      </c>
      <c r="C610" s="102">
        <v>12.5</v>
      </c>
      <c r="D610" s="92" t="str">
        <f>+A610</f>
        <v>ANCA - ANTI-NEUTROPHIL CYTO ANTIBODIES</v>
      </c>
      <c r="E610" s="139"/>
      <c r="T610" s="139" t="s">
        <v>1125</v>
      </c>
      <c r="U610" s="109"/>
      <c r="V610" s="107">
        <v>17.7</v>
      </c>
    </row>
    <row r="611" spans="1:22">
      <c r="A611" s="137" t="s">
        <v>1126</v>
      </c>
      <c r="B611" s="59">
        <f>+B610+1</f>
        <v>603</v>
      </c>
      <c r="C611" s="102">
        <v>12.7</v>
      </c>
      <c r="D611" s="92" t="str">
        <f>+A611</f>
        <v>ANTI CARDIOLIPIN IgG &amp; IgM</v>
      </c>
      <c r="E611" s="139"/>
      <c r="T611" s="139"/>
      <c r="U611" s="109"/>
      <c r="V611" s="107"/>
    </row>
    <row r="612" spans="1:22">
      <c r="A612" s="137" t="s">
        <v>1127</v>
      </c>
      <c r="B612" s="59">
        <f>+B611+1</f>
        <v>604</v>
      </c>
      <c r="C612" s="102">
        <v>31.5</v>
      </c>
      <c r="D612" s="92" t="str">
        <f>+A612</f>
        <v>ANTI C1 ESTERASE ANTIBODY</v>
      </c>
      <c r="E612" s="139"/>
      <c r="T612" s="139"/>
      <c r="U612" s="109"/>
      <c r="V612" s="107"/>
    </row>
    <row r="613" spans="1:22">
      <c r="A613" s="137" t="s">
        <v>1128</v>
      </c>
      <c r="B613" s="59">
        <f>+B612+1</f>
        <v>605</v>
      </c>
      <c r="C613" s="102">
        <v>12.5</v>
      </c>
      <c r="D613" s="92" t="str">
        <f>+A613</f>
        <v>ANTI RI (ANNA-2) NEURONAL ANTIBODY (CSF)</v>
      </c>
      <c r="E613" s="139"/>
      <c r="T613" s="139"/>
      <c r="U613" s="109"/>
      <c r="V613" s="107"/>
    </row>
    <row r="614" spans="1:22">
      <c r="A614" s="137" t="s">
        <v>1129</v>
      </c>
      <c r="B614" s="59">
        <f>+B613+1</f>
        <v>606</v>
      </c>
      <c r="C614" s="102">
        <v>63</v>
      </c>
      <c r="D614" s="92" t="str">
        <f>+A614</f>
        <v>ANTI RI (ANNA-2) NEURONAL ANTIBODY (sent away)</v>
      </c>
      <c r="E614" s="139"/>
      <c r="T614" s="139"/>
      <c r="U614" s="109"/>
      <c r="V614" s="107"/>
    </row>
    <row r="615" spans="1:22">
      <c r="A615" s="137" t="s">
        <v>1130</v>
      </c>
      <c r="B615" s="59">
        <f>+B614+1</f>
        <v>607</v>
      </c>
      <c r="C615" s="102">
        <v>30</v>
      </c>
      <c r="D615" s="92" t="str">
        <f>+A615</f>
        <v>ANTI-COLLEGEN TYPE 2(send away)</v>
      </c>
      <c r="E615" s="139"/>
      <c r="T615" s="139"/>
      <c r="U615" s="109"/>
      <c r="V615" s="107"/>
    </row>
    <row r="616" spans="1:22">
      <c r="A616" s="137" t="s">
        <v>1131</v>
      </c>
      <c r="B616" s="59">
        <f>+B615+1</f>
        <v>608</v>
      </c>
      <c r="C616" s="102">
        <v>30</v>
      </c>
      <c r="D616" s="92" t="str">
        <f>+A616</f>
        <v>ANTI-CHOLINESTERASE Ab(send away)</v>
      </c>
      <c r="E616" s="139"/>
      <c r="T616" s="139"/>
      <c r="U616" s="109"/>
      <c r="V616" s="107"/>
    </row>
    <row r="617" spans="1:22">
      <c r="A617" s="137" t="s">
        <v>1132</v>
      </c>
      <c r="B617" s="59">
        <f>+B616+1</f>
        <v>609</v>
      </c>
      <c r="C617" s="102">
        <v>15</v>
      </c>
      <c r="D617" s="92" t="str">
        <f>+A617</f>
        <v>AMYLOID-A(send away)</v>
      </c>
      <c r="E617" s="139"/>
      <c r="T617" s="139"/>
      <c r="U617" s="109"/>
      <c r="V617" s="107"/>
    </row>
    <row r="618" spans="1:22">
      <c r="A618" s="137" t="s">
        <v>1133</v>
      </c>
      <c r="B618" s="59">
        <f>+B617+1</f>
        <v>610</v>
      </c>
      <c r="C618" s="102" t="e">
        <v>#REF!</v>
      </c>
      <c r="D618" s="92" t="str">
        <f>+A618</f>
        <v>ANTI-C1Q ANTIBODY</v>
      </c>
      <c r="E618" s="139"/>
      <c r="T618" s="139"/>
      <c r="U618" s="109"/>
      <c r="V618" s="107"/>
    </row>
    <row r="619" spans="1:22">
      <c r="A619" s="137" t="s">
        <v>1134</v>
      </c>
      <c r="B619" s="59">
        <f>+B618+1</f>
        <v>611</v>
      </c>
      <c r="C619" s="102">
        <v>29.1</v>
      </c>
      <c r="D619" s="92" t="str">
        <f>+A619</f>
        <v>ANTI-IGA ANTIBODY (send away)</v>
      </c>
      <c r="E619" s="139"/>
      <c r="T619" s="139"/>
      <c r="U619" s="109"/>
      <c r="V619" s="107"/>
    </row>
    <row r="620" spans="1:22">
      <c r="A620" s="137" t="s">
        <v>1135</v>
      </c>
      <c r="B620" s="59">
        <f>+B619+1</f>
        <v>612</v>
      </c>
      <c r="C620" s="102" t="s">
        <v>1136</v>
      </c>
      <c r="D620" s="92" t="str">
        <f>+A620</f>
        <v>AQUAPORIN 4 (Send away)</v>
      </c>
      <c r="E620" s="139"/>
      <c r="T620" s="139"/>
      <c r="U620" s="109"/>
      <c r="V620" s="107"/>
    </row>
    <row r="621" spans="1:22">
      <c r="A621" s="137" t="s">
        <v>1137</v>
      </c>
      <c r="B621" s="59">
        <f>+B620+1</f>
        <v>613</v>
      </c>
      <c r="C621" s="102">
        <v>11.9</v>
      </c>
      <c r="D621" s="92" t="str">
        <f>+A621</f>
        <v>ASPERGILLUS PRECIPITINS</v>
      </c>
      <c r="E621" s="139"/>
      <c r="T621" s="139"/>
      <c r="U621" s="109"/>
      <c r="V621" s="107"/>
    </row>
    <row r="622" spans="1:22">
      <c r="A622" s="137" t="s">
        <v>1138</v>
      </c>
      <c r="B622" s="59">
        <f>+B621+1</f>
        <v>614</v>
      </c>
      <c r="C622" s="102">
        <v>23.8</v>
      </c>
      <c r="D622" s="92" t="str">
        <f>+A622</f>
        <v>AVIAN PRECIPITINS</v>
      </c>
      <c r="E622" s="139"/>
      <c r="T622" s="139"/>
      <c r="U622" s="109"/>
      <c r="V622" s="107"/>
    </row>
    <row r="623" spans="1:22">
      <c r="A623" s="137" t="s">
        <v>1139</v>
      </c>
      <c r="B623" s="59">
        <f>+B622+1</f>
        <v>615</v>
      </c>
      <c r="C623" s="102">
        <v>9.8</v>
      </c>
      <c r="D623" s="92" t="str">
        <f>+A623</f>
        <v>BETA 2 GLYCOPROTEIN 1</v>
      </c>
      <c r="E623" s="139"/>
      <c r="T623" s="139"/>
      <c r="U623" s="109"/>
      <c r="V623" s="107"/>
    </row>
    <row r="624" spans="1:22">
      <c r="A624" s="137" t="s">
        <v>1140</v>
      </c>
      <c r="B624" s="59">
        <f>+B623+1</f>
        <v>616</v>
      </c>
      <c r="C624" s="102">
        <v>6.4</v>
      </c>
      <c r="D624" s="92" t="str">
        <f>+A624</f>
        <v>BETA 2 MICROGLOBULIN (NON HAZARDOUS) </v>
      </c>
      <c r="E624" s="139"/>
      <c r="T624" s="139"/>
      <c r="U624" s="109"/>
      <c r="V624" s="107"/>
    </row>
    <row r="625" spans="1:22">
      <c r="A625" s="137" t="s">
        <v>1141</v>
      </c>
      <c r="B625" s="59">
        <f>+B624+1</f>
        <v>617</v>
      </c>
      <c r="C625" s="102">
        <v>10.5</v>
      </c>
      <c r="D625" s="92" t="str">
        <f>+A625</f>
        <v>BETA 2 MICROGLOBULIN URINE</v>
      </c>
      <c r="E625" s="139"/>
      <c r="T625" s="139"/>
      <c r="U625" s="109"/>
      <c r="V625" s="107"/>
    </row>
    <row r="626" spans="1:22">
      <c r="A626" s="137" t="s">
        <v>1142</v>
      </c>
      <c r="B626" s="59">
        <f>+B625+1</f>
        <v>618</v>
      </c>
      <c r="C626" s="102">
        <v>10.5</v>
      </c>
      <c r="D626" s="92" t="str">
        <f>+A626</f>
        <v>C1 ESTERASE INHIBITOR  </v>
      </c>
      <c r="E626" s="139"/>
      <c r="T626" s="139"/>
      <c r="U626" s="109"/>
      <c r="V626" s="107"/>
    </row>
    <row r="627" spans="1:22">
      <c r="A627" s="137" t="s">
        <v>1143</v>
      </c>
      <c r="B627" s="59">
        <f>+B626+1</f>
        <v>619</v>
      </c>
      <c r="C627" s="102">
        <v>21.8</v>
      </c>
      <c r="D627" s="92" t="str">
        <f>+A627</f>
        <v>C1 ESTERASE INHIBITOR FUNCTIONAL ASSAY </v>
      </c>
      <c r="E627" s="139"/>
      <c r="T627" s="139"/>
      <c r="U627" s="109"/>
      <c r="V627" s="107"/>
    </row>
    <row r="628" spans="1:22">
      <c r="A628" s="137" t="s">
        <v>1144</v>
      </c>
      <c r="B628" s="59">
        <f>+B627+1</f>
        <v>620</v>
      </c>
      <c r="C628" s="102">
        <v>12.7</v>
      </c>
      <c r="D628" s="92" t="str">
        <f>+A628</f>
        <v>C3 NEPHRITIC FACTOR  </v>
      </c>
      <c r="E628" s="139"/>
      <c r="T628" s="139"/>
      <c r="U628" s="109"/>
      <c r="V628" s="107"/>
    </row>
    <row r="629" spans="1:22">
      <c r="A629" s="137" t="s">
        <v>1145</v>
      </c>
      <c r="B629" s="59">
        <f>+B628+1</f>
        <v>621</v>
      </c>
      <c r="C629" s="102">
        <v>17.6</v>
      </c>
      <c r="D629" s="92" t="str">
        <f>+A629</f>
        <v>CARDIAC MUSCLE ANTIBODY</v>
      </c>
      <c r="E629" s="139"/>
      <c r="T629" s="139"/>
      <c r="U629" s="109"/>
      <c r="V629" s="107"/>
    </row>
    <row r="630" spans="1:22">
      <c r="A630" s="137" t="s">
        <v>1146</v>
      </c>
      <c r="B630" s="59">
        <f>+B629+1</f>
        <v>622</v>
      </c>
      <c r="C630" s="102">
        <v>19</v>
      </c>
      <c r="D630" s="92" t="str">
        <f>+A630</f>
        <v>CARTILAGE ANTIBODY (sent away)</v>
      </c>
      <c r="E630" s="139"/>
      <c r="T630" s="139"/>
      <c r="U630" s="109"/>
      <c r="V630" s="107"/>
    </row>
    <row r="631" spans="1:22">
      <c r="A631" s="137" t="s">
        <v>1053</v>
      </c>
      <c r="B631" s="59">
        <f>+B630+1</f>
        <v>623</v>
      </c>
      <c r="C631" s="102">
        <v>10.1</v>
      </c>
      <c r="D631" s="92" t="str">
        <f>+A631</f>
        <v>CCP</v>
      </c>
      <c r="E631" s="139"/>
      <c r="T631" s="139"/>
      <c r="U631" s="109"/>
      <c r="V631" s="107"/>
    </row>
    <row r="632" spans="1:22">
      <c r="A632" s="137" t="s">
        <v>1147</v>
      </c>
      <c r="B632" s="59">
        <f>+B631+1</f>
        <v>624</v>
      </c>
      <c r="C632" s="102">
        <v>150</v>
      </c>
      <c r="D632" s="92" t="str">
        <f>+A632</f>
        <v>COMPONENT RESOLVED DIAGNOSIS</v>
      </c>
      <c r="E632" s="139"/>
      <c r="T632" s="139"/>
      <c r="U632" s="109"/>
      <c r="V632" s="107"/>
    </row>
    <row r="633" spans="1:22">
      <c r="A633" s="137" t="s">
        <v>1148</v>
      </c>
      <c r="B633" s="59">
        <f>+B632+1</f>
        <v>625</v>
      </c>
      <c r="C633" s="102">
        <v>12.8</v>
      </c>
      <c r="D633" s="92" t="str">
        <f>+A633</f>
        <v>CENTROMERE </v>
      </c>
      <c r="E633" s="139"/>
      <c r="T633" s="139"/>
      <c r="U633" s="109"/>
      <c r="V633" s="107"/>
    </row>
    <row r="634" spans="1:22">
      <c r="A634" s="137" t="s">
        <v>1149</v>
      </c>
      <c r="B634" s="59">
        <f>+B633+1</f>
        <v>626</v>
      </c>
      <c r="C634" s="102">
        <v>21.6</v>
      </c>
      <c r="D634" s="92" t="str">
        <f>+A634</f>
        <v>CH50(FUNCTIONAL COMPLEMENT ASSAY)+C3C4 </v>
      </c>
      <c r="E634" s="139"/>
      <c r="T634" s="139"/>
      <c r="U634" s="109"/>
      <c r="V634" s="107"/>
    </row>
    <row r="635" spans="1:22">
      <c r="A635" s="137" t="s">
        <v>1150</v>
      </c>
      <c r="B635" s="59">
        <f>+B634+1</f>
        <v>627</v>
      </c>
      <c r="C635" s="102">
        <v>8.9</v>
      </c>
      <c r="D635" s="92" t="str">
        <f>+A635</f>
        <v>COMPLEMENT C3C4</v>
      </c>
      <c r="E635" s="139"/>
      <c r="T635" s="139"/>
      <c r="U635" s="109"/>
      <c r="V635" s="107"/>
    </row>
    <row r="636" spans="1:22">
      <c r="A636" s="137" t="s">
        <v>1151</v>
      </c>
      <c r="B636" s="59">
        <f>+B635+1</f>
        <v>628</v>
      </c>
      <c r="C636" s="102">
        <v>20</v>
      </c>
      <c r="D636" s="92" t="str">
        <f>+A636</f>
        <v>COMPLEMENT COMPONENT C2</v>
      </c>
      <c r="E636" s="139"/>
      <c r="T636" s="139"/>
      <c r="U636" s="109"/>
      <c r="V636" s="107"/>
    </row>
    <row r="637" spans="1:22">
      <c r="A637" s="137" t="s">
        <v>1152</v>
      </c>
      <c r="B637" s="59">
        <f>+B636+1</f>
        <v>629</v>
      </c>
      <c r="C637" s="102">
        <v>20</v>
      </c>
      <c r="D637" s="92" t="str">
        <f>+A637</f>
        <v>ALT'VE COMPLEMENT PATHWAY FACTOR H</v>
      </c>
      <c r="E637" s="139"/>
      <c r="T637" s="139"/>
      <c r="U637" s="109"/>
      <c r="V637" s="107"/>
    </row>
    <row r="638" spans="1:22">
      <c r="A638" s="137" t="s">
        <v>1153</v>
      </c>
      <c r="B638" s="59">
        <f>+B637+1</f>
        <v>630</v>
      </c>
      <c r="C638" s="102">
        <v>10</v>
      </c>
      <c r="D638" s="92" t="str">
        <f>+A638</f>
        <v>ALT'VE COMPLEMENT PATHWAY AP50</v>
      </c>
      <c r="E638" s="139"/>
      <c r="T638" s="139"/>
      <c r="U638" s="109"/>
      <c r="V638" s="107"/>
    </row>
    <row r="639" spans="1:22">
      <c r="A639" s="137" t="s">
        <v>1154</v>
      </c>
      <c r="B639" s="59">
        <f>+B638+1</f>
        <v>631</v>
      </c>
      <c r="C639" s="102">
        <v>25</v>
      </c>
      <c r="D639" s="92" t="str">
        <f>+A639</f>
        <v>ALT'VE COMP PATHWAY -ELISA</v>
      </c>
      <c r="E639" s="139"/>
      <c r="T639" s="139"/>
      <c r="U639" s="109"/>
      <c r="V639" s="107"/>
    </row>
    <row r="640" spans="1:22">
      <c r="A640" s="137" t="s">
        <v>1155</v>
      </c>
      <c r="B640" s="59">
        <f>+B639+1</f>
        <v>632</v>
      </c>
      <c r="C640" s="102">
        <v>25</v>
      </c>
      <c r="D640" s="92" t="str">
        <f>+A640</f>
        <v>CLASSICAL COMP PATHWAT- ELISA</v>
      </c>
      <c r="E640" s="139"/>
      <c r="T640" s="139"/>
      <c r="U640" s="109"/>
      <c r="V640" s="107"/>
    </row>
    <row r="641" spans="1:22">
      <c r="A641" s="137" t="s">
        <v>1156</v>
      </c>
      <c r="B641" s="59">
        <f>+B640+1</f>
        <v>633</v>
      </c>
      <c r="C641" s="102">
        <v>25</v>
      </c>
      <c r="D641" s="92" t="str">
        <f>+A641</f>
        <v>COMPLEMENT MANNIN BINDING LECTINS</v>
      </c>
      <c r="E641" s="139"/>
      <c r="T641" s="139"/>
      <c r="U641" s="109"/>
      <c r="V641" s="107"/>
    </row>
    <row r="642" spans="1:22">
      <c r="A642" s="137" t="s">
        <v>1157</v>
      </c>
      <c r="B642" s="59">
        <f>+B641+1</f>
        <v>634</v>
      </c>
      <c r="C642" s="102">
        <v>5.6</v>
      </c>
      <c r="D642" s="92" t="str">
        <f>+A642</f>
        <v>CONNECTIVE TISSUE ANA SCREEN</v>
      </c>
      <c r="E642" s="139"/>
      <c r="T642" s="139"/>
      <c r="U642" s="109"/>
      <c r="V642" s="107"/>
    </row>
    <row r="643" spans="1:22">
      <c r="A643" s="137" t="s">
        <v>1158</v>
      </c>
      <c r="B643" s="59">
        <f>+B642+1</f>
        <v>635</v>
      </c>
      <c r="C643" s="102">
        <v>15.1</v>
      </c>
      <c r="D643" s="92" t="str">
        <f>+A643</f>
        <v>CRYOGLOBULIN </v>
      </c>
      <c r="E643" s="139"/>
      <c r="T643" s="139"/>
      <c r="U643" s="109"/>
      <c r="V643" s="107"/>
    </row>
    <row r="644" spans="1:22">
      <c r="A644" s="137" t="s">
        <v>1159</v>
      </c>
      <c r="B644" s="59">
        <f>+B643+1</f>
        <v>636</v>
      </c>
      <c r="C644" s="102">
        <v>5.6</v>
      </c>
      <c r="D644" s="92" t="str">
        <f>+A644</f>
        <v>CSF ALBUMIN </v>
      </c>
      <c r="E644" s="139"/>
      <c r="T644" s="139"/>
      <c r="U644" s="109"/>
      <c r="V644" s="107"/>
    </row>
    <row r="645" spans="1:22">
      <c r="A645" s="137" t="s">
        <v>1160</v>
      </c>
      <c r="B645" s="59">
        <f>+B644+1</f>
        <v>637</v>
      </c>
      <c r="C645" s="102">
        <v>28.7</v>
      </c>
      <c r="D645" s="92" t="str">
        <f>+A645</f>
        <v>CSF Analysis (IgG Alb and OCBS)</v>
      </c>
      <c r="E645" s="139"/>
      <c r="T645" s="139"/>
      <c r="U645" s="109"/>
      <c r="V645" s="107"/>
    </row>
    <row r="646" spans="1:22">
      <c r="A646" s="137" t="s">
        <v>1161</v>
      </c>
      <c r="B646" s="59">
        <f>+B645+1</f>
        <v>638</v>
      </c>
      <c r="C646" s="102">
        <v>0</v>
      </c>
      <c r="D646" s="92" t="str">
        <f>+A646</f>
        <v>CSF CALCULATION NO COST</v>
      </c>
      <c r="E646" s="139"/>
      <c r="T646" s="139"/>
      <c r="U646" s="109"/>
      <c r="V646" s="107"/>
    </row>
    <row r="647" spans="1:22">
      <c r="A647" s="137" t="s">
        <v>1162</v>
      </c>
      <c r="B647" s="59">
        <f>+B646+1</f>
        <v>639</v>
      </c>
      <c r="C647" s="102">
        <v>5.6</v>
      </c>
      <c r="D647" s="92" t="str">
        <f>+A647</f>
        <v>CSF IGG</v>
      </c>
      <c r="E647" s="139"/>
      <c r="T647" s="139"/>
      <c r="U647" s="109"/>
      <c r="V647" s="107"/>
    </row>
    <row r="648" spans="1:22">
      <c r="A648" s="137" t="s">
        <v>1163</v>
      </c>
      <c r="B648" s="59">
        <f>+B647+1</f>
        <v>640</v>
      </c>
      <c r="C648" s="102">
        <v>20.2</v>
      </c>
      <c r="D648" s="92" t="str">
        <f>+A648</f>
        <v>CSF IMMUNOELECTROPHORESIS</v>
      </c>
      <c r="E648" s="139"/>
      <c r="T648" s="139"/>
      <c r="U648" s="109"/>
      <c r="V648" s="107"/>
    </row>
    <row r="649" spans="1:22">
      <c r="A649" s="137" t="s">
        <v>1164</v>
      </c>
      <c r="B649" s="59">
        <f>+B648+1</f>
        <v>641</v>
      </c>
      <c r="C649" s="102">
        <v>11.8</v>
      </c>
      <c r="D649" s="92" t="str">
        <f>+A649</f>
        <v>DNA  ANTIBODIES</v>
      </c>
      <c r="E649" s="139"/>
      <c r="T649" s="139"/>
      <c r="U649" s="109"/>
      <c r="V649" s="107"/>
    </row>
    <row r="650" spans="1:22">
      <c r="A650" s="137" t="s">
        <v>1165</v>
      </c>
      <c r="B650" s="59">
        <f>+B649+1</f>
        <v>642</v>
      </c>
      <c r="C650" s="102">
        <v>21</v>
      </c>
      <c r="D650" s="92" t="str">
        <f>+A650</f>
        <v>ENA EXTENDED SCREEN</v>
      </c>
      <c r="E650" s="139"/>
      <c r="T650" s="139"/>
      <c r="U650" s="109"/>
      <c r="V650" s="107"/>
    </row>
    <row r="651" spans="1:22">
      <c r="A651" s="137" t="s">
        <v>1166</v>
      </c>
      <c r="B651" s="59">
        <f>+B650+1</f>
        <v>643</v>
      </c>
      <c r="C651" s="102">
        <v>22.2</v>
      </c>
      <c r="D651" s="92" t="str">
        <f>+A651</f>
        <v>ENA PROFILE</v>
      </c>
      <c r="E651" s="139"/>
      <c r="T651" s="139"/>
      <c r="U651" s="109"/>
      <c r="V651" s="107"/>
    </row>
    <row r="652" spans="1:22">
      <c r="A652" s="137" t="s">
        <v>1167</v>
      </c>
      <c r="B652" s="59">
        <f>+B651+1</f>
        <v>644</v>
      </c>
      <c r="C652" s="102">
        <v>5.6</v>
      </c>
      <c r="D652" s="92" t="str">
        <f>+A652</f>
        <v>ENA SCREEN</v>
      </c>
      <c r="E652" s="139"/>
      <c r="T652" s="139"/>
      <c r="U652" s="109"/>
      <c r="V652" s="107"/>
    </row>
    <row r="653" spans="1:22">
      <c r="A653" s="137" t="s">
        <v>1168</v>
      </c>
      <c r="B653" s="59">
        <f>+B652+1</f>
        <v>645</v>
      </c>
      <c r="C653" s="102">
        <v>9.5</v>
      </c>
      <c r="D653" s="92" t="str">
        <f>+A653</f>
        <v>ENDOMYSIAL ANTIBODY IGA</v>
      </c>
      <c r="E653" s="139"/>
      <c r="T653" s="139"/>
      <c r="U653" s="109"/>
      <c r="V653" s="107"/>
    </row>
    <row r="654" spans="1:22">
      <c r="A654" s="137" t="s">
        <v>1169</v>
      </c>
      <c r="B654" s="59">
        <f>+B653+1</f>
        <v>646</v>
      </c>
      <c r="C654" s="102">
        <v>9.5</v>
      </c>
      <c r="D654" s="92" t="str">
        <f>+A654</f>
        <v>ENDOMYSIAL ANTIBODY IGG</v>
      </c>
      <c r="E654" s="139"/>
      <c r="T654" s="139"/>
      <c r="U654" s="109"/>
      <c r="V654" s="107"/>
    </row>
    <row r="655" spans="1:22">
      <c r="A655" s="137" t="s">
        <v>1170</v>
      </c>
      <c r="B655" s="59">
        <f>+B654+1</f>
        <v>647</v>
      </c>
      <c r="C655" s="102">
        <v>20.5</v>
      </c>
      <c r="D655" s="92" t="str">
        <f>+A655</f>
        <v>ENTEROCYTE ANTIBODY (sent away)</v>
      </c>
      <c r="E655" s="139"/>
      <c r="T655" s="139" t="s">
        <v>1171</v>
      </c>
      <c r="U655" s="109"/>
      <c r="V655" s="107">
        <v>13.3</v>
      </c>
    </row>
    <row r="656" spans="1:22">
      <c r="A656" s="137" t="s">
        <v>1172</v>
      </c>
      <c r="B656" s="59">
        <f>+B655+1</f>
        <v>648</v>
      </c>
      <c r="C656" s="102">
        <v>11.9</v>
      </c>
      <c r="D656" s="92" t="str">
        <f>+A656</f>
        <v>FARMER'S LUNG PRECIPITINS</v>
      </c>
      <c r="E656" s="139"/>
      <c r="T656" s="139" t="s">
        <v>1173</v>
      </c>
      <c r="U656" s="108" t="s">
        <v>1174</v>
      </c>
      <c r="V656" s="107">
        <v>13.3</v>
      </c>
    </row>
    <row r="657" spans="1:22">
      <c r="A657" s="137" t="s">
        <v>1175</v>
      </c>
      <c r="B657" s="59">
        <f>+B656+1</f>
        <v>649</v>
      </c>
      <c r="C657" s="102">
        <v>25</v>
      </c>
      <c r="D657" s="92" t="str">
        <f>+A657</f>
        <v>FREE LIGHT CHAINS (SERUM)</v>
      </c>
      <c r="E657" s="139"/>
      <c r="T657" s="139" t="s">
        <v>1122</v>
      </c>
      <c r="U657" s="108" t="s">
        <v>1176</v>
      </c>
      <c r="V657" s="107">
        <v>5.6</v>
      </c>
    </row>
    <row r="658" spans="1:22">
      <c r="A658" s="137" t="s">
        <v>1177</v>
      </c>
      <c r="B658" s="59">
        <f>+B657+1</f>
        <v>650</v>
      </c>
      <c r="C658" s="102">
        <v>31.5</v>
      </c>
      <c r="D658" s="92" t="str">
        <f>+A658</f>
        <v>FUNCTIONAL ANTIBODIES (PNEUMO IgG 1&amp;2 TETANUS IgG HAEM B)</v>
      </c>
      <c r="E658" s="139"/>
      <c r="T658" s="139" t="s">
        <v>1124</v>
      </c>
      <c r="U658" s="108" t="s">
        <v>1178</v>
      </c>
      <c r="V658" s="107">
        <v>12.5</v>
      </c>
    </row>
    <row r="659" spans="1:22" ht="37.5">
      <c r="A659" s="137" t="s">
        <v>1179</v>
      </c>
      <c r="B659" s="59">
        <f>+B658+1</f>
        <v>651</v>
      </c>
      <c r="C659" s="102">
        <v>5.8</v>
      </c>
      <c r="D659" s="92" t="str">
        <f>+A659</f>
        <v>GASTRIC PARIETAL CELL ANTIBODY</v>
      </c>
      <c r="E659" s="140"/>
      <c r="T659" s="140" t="s">
        <v>1180</v>
      </c>
      <c r="U659" s="141" t="s">
        <v>1181</v>
      </c>
      <c r="V659" s="107">
        <v>17.7</v>
      </c>
    </row>
    <row r="660" spans="1:22">
      <c r="A660" s="137" t="s">
        <v>1182</v>
      </c>
      <c r="B660" s="59">
        <f>+B659+1</f>
        <v>652</v>
      </c>
      <c r="C660" s="102">
        <v>14.6</v>
      </c>
      <c r="D660" s="92" t="str">
        <f>+A660</f>
        <v>GLOMERULAR BASEMENT MEMBRANE ANTIBODY </v>
      </c>
      <c r="E660" s="139"/>
      <c r="T660" s="139" t="s">
        <v>1183</v>
      </c>
      <c r="U660" s="108" t="s">
        <v>1184</v>
      </c>
      <c r="V660" s="107">
        <v>12.7</v>
      </c>
    </row>
    <row r="661" spans="1:22">
      <c r="A661" s="137" t="s">
        <v>1185</v>
      </c>
      <c r="B661" s="59">
        <f>+B660+1</f>
        <v>653</v>
      </c>
      <c r="C661" s="102">
        <v>10.6</v>
      </c>
      <c r="D661" s="92" t="str">
        <f>+A661</f>
        <v>HAEMOPHILUS B</v>
      </c>
      <c r="E661" s="139"/>
      <c r="T661" s="139" t="s">
        <v>1128</v>
      </c>
      <c r="U661" s="108" t="s">
        <v>1186</v>
      </c>
      <c r="V661" s="107">
        <v>12.5</v>
      </c>
    </row>
    <row r="662" spans="1:22">
      <c r="A662" s="137" t="s">
        <v>1187</v>
      </c>
      <c r="B662" s="59">
        <f>+B661+1</f>
        <v>654</v>
      </c>
      <c r="C662" s="102">
        <v>12.8</v>
      </c>
      <c r="D662" s="92" t="str">
        <f>+A662</f>
        <v>HEP2</v>
      </c>
      <c r="E662" s="138"/>
      <c r="T662" s="138" t="s">
        <v>1129</v>
      </c>
      <c r="U662" s="108" t="s">
        <v>1188</v>
      </c>
      <c r="V662" s="107">
        <v>63</v>
      </c>
    </row>
    <row r="663" spans="1:22">
      <c r="A663" s="137" t="s">
        <v>1189</v>
      </c>
      <c r="B663" s="59">
        <f>+B662+1</f>
        <v>655</v>
      </c>
      <c r="C663" s="102">
        <v>20.5</v>
      </c>
      <c r="D663" s="92" t="str">
        <f>+A663</f>
        <v>HISTONE ABS </v>
      </c>
      <c r="E663" s="138"/>
      <c r="T663" s="139" t="s">
        <v>1130</v>
      </c>
      <c r="U663" s="108" t="s">
        <v>1190</v>
      </c>
      <c r="V663" s="107">
        <v>30</v>
      </c>
    </row>
    <row r="664" spans="1:22">
      <c r="A664" s="137" t="s">
        <v>1191</v>
      </c>
      <c r="B664" s="59">
        <f>+B663+1</f>
        <v>656</v>
      </c>
      <c r="C664" s="102">
        <v>10.1</v>
      </c>
      <c r="D664" s="92" t="str">
        <f>+A664</f>
        <v>IGA LOW CONCENTRATION</v>
      </c>
      <c r="E664" s="138"/>
      <c r="T664" s="139" t="s">
        <v>1131</v>
      </c>
      <c r="U664" s="108" t="s">
        <v>1192</v>
      </c>
      <c r="V664" s="107">
        <v>30</v>
      </c>
    </row>
    <row r="665" spans="1:22">
      <c r="A665" s="137" t="s">
        <v>1193</v>
      </c>
      <c r="B665" s="59">
        <f>+B664+1</f>
        <v>657</v>
      </c>
      <c r="C665" s="102">
        <v>25.3</v>
      </c>
      <c r="D665" s="92" t="str">
        <f>+A665</f>
        <v>IGG SUBCLASSES </v>
      </c>
      <c r="E665" s="138"/>
      <c r="T665" s="139" t="s">
        <v>1132</v>
      </c>
      <c r="U665" s="108" t="s">
        <v>1194</v>
      </c>
      <c r="V665" s="107">
        <v>15</v>
      </c>
    </row>
    <row r="666" spans="1:22">
      <c r="A666" s="137" t="s">
        <v>1195</v>
      </c>
      <c r="B666" s="59">
        <f>+B665+1</f>
        <v>658</v>
      </c>
      <c r="C666" s="102">
        <v>37.8</v>
      </c>
      <c r="D666" s="92" t="str">
        <f>+A666</f>
        <v>IMMUNOELECTROPHORESIS (URINE)</v>
      </c>
      <c r="E666" s="139"/>
      <c r="T666" s="139" t="s">
        <v>1133</v>
      </c>
      <c r="U666" s="108" t="s">
        <v>1196</v>
      </c>
      <c r="V666" s="107">
        <v>22.2</v>
      </c>
    </row>
    <row r="667" spans="1:22">
      <c r="A667" s="137" t="s">
        <v>1197</v>
      </c>
      <c r="B667" s="59">
        <f>+B666+1</f>
        <v>659</v>
      </c>
      <c r="C667" s="102">
        <v>37.8</v>
      </c>
      <c r="D667" s="92" t="str">
        <f>+A667</f>
        <v>IMMUNOELECTROPHORESIS (SERUM)</v>
      </c>
      <c r="E667" s="139"/>
      <c r="T667" s="139" t="s">
        <v>1134</v>
      </c>
      <c r="U667" s="108" t="s">
        <v>1198</v>
      </c>
      <c r="V667" s="107">
        <v>29.1</v>
      </c>
    </row>
    <row r="668" spans="1:22">
      <c r="A668" s="137" t="s">
        <v>1199</v>
      </c>
      <c r="B668" s="59">
        <f>+B667+1</f>
        <v>660</v>
      </c>
      <c r="C668" s="102">
        <v>37.8</v>
      </c>
      <c r="D668" s="92" t="str">
        <f>+A668</f>
        <v>IMMUNOFIXATION (IFIX)</v>
      </c>
      <c r="E668" s="139"/>
      <c r="T668" s="139" t="s">
        <v>1200</v>
      </c>
      <c r="U668" s="108" t="s">
        <v>1201</v>
      </c>
      <c r="V668" s="107">
        <v>13.3</v>
      </c>
    </row>
    <row r="669" spans="1:22">
      <c r="A669" s="137" t="s">
        <v>1202</v>
      </c>
      <c r="B669" s="59">
        <f>+B668+1</f>
        <v>661</v>
      </c>
      <c r="C669" s="102">
        <v>5.6</v>
      </c>
      <c r="D669" s="92" t="str">
        <f>+A669</f>
        <v>IMMUNOGLOBULIN D </v>
      </c>
      <c r="E669" s="139"/>
      <c r="T669" s="139" t="s">
        <v>1137</v>
      </c>
      <c r="U669" s="108" t="s">
        <v>1203</v>
      </c>
      <c r="V669" s="107">
        <v>11.9</v>
      </c>
    </row>
    <row r="670" spans="1:22">
      <c r="A670" s="137" t="s">
        <v>1204</v>
      </c>
      <c r="B670" s="59">
        <f>+B669+1</f>
        <v>662</v>
      </c>
      <c r="C670" s="102">
        <v>7</v>
      </c>
      <c r="D670" s="92" t="str">
        <f>+A670</f>
        <v>IMMUNOGLOBULIN E </v>
      </c>
      <c r="E670" s="139"/>
      <c r="T670" s="139" t="s">
        <v>1205</v>
      </c>
      <c r="U670" s="108" t="s">
        <v>1206</v>
      </c>
      <c r="V670" s="107">
        <v>13.3</v>
      </c>
    </row>
    <row r="671" spans="1:22">
      <c r="A671" s="137" t="s">
        <v>1207</v>
      </c>
      <c r="B671" s="59">
        <f>+B670+1</f>
        <v>663</v>
      </c>
      <c r="C671" s="102">
        <v>5.6</v>
      </c>
      <c r="D671" s="92" t="str">
        <f>+A671</f>
        <v>IMMUNOGLOBULIN IGA</v>
      </c>
      <c r="E671" s="139"/>
      <c r="T671" s="139" t="s">
        <v>1138</v>
      </c>
      <c r="U671" s="108" t="s">
        <v>1208</v>
      </c>
      <c r="V671" s="107">
        <v>23.8</v>
      </c>
    </row>
    <row r="672" spans="1:22">
      <c r="A672" s="137" t="s">
        <v>1209</v>
      </c>
      <c r="B672" s="59">
        <f>+B671+1</f>
        <v>664</v>
      </c>
      <c r="C672" s="102">
        <v>5.6</v>
      </c>
      <c r="D672" s="92" t="str">
        <f>+A672</f>
        <v>IMMUNOGLOBULIN IGG</v>
      </c>
      <c r="E672" s="139"/>
      <c r="T672" s="139" t="s">
        <v>1210</v>
      </c>
      <c r="U672" s="108" t="s">
        <v>1211</v>
      </c>
      <c r="V672" s="107">
        <v>13.3</v>
      </c>
    </row>
    <row r="673" spans="1:22">
      <c r="A673" s="137" t="s">
        <v>1212</v>
      </c>
      <c r="B673" s="59">
        <f>+B672+1</f>
        <v>665</v>
      </c>
      <c r="C673" s="102">
        <v>5.6</v>
      </c>
      <c r="D673" s="92" t="str">
        <f>+A673</f>
        <v>IMMUNOGLOBULIN IGM</v>
      </c>
      <c r="E673" s="139"/>
      <c r="T673" s="139" t="s">
        <v>1139</v>
      </c>
      <c r="U673" s="108" t="s">
        <v>1213</v>
      </c>
      <c r="V673" s="107">
        <v>9.8</v>
      </c>
    </row>
    <row r="674" spans="1:22">
      <c r="A674" s="137" t="s">
        <v>1214</v>
      </c>
      <c r="B674" s="59">
        <f>+B673+1</f>
        <v>666</v>
      </c>
      <c r="C674" s="102">
        <v>22.7</v>
      </c>
      <c r="D674" s="92" t="str">
        <f>+A674</f>
        <v>IMMUNOGLOBULINS + SERUM ELECTROPHORESIS </v>
      </c>
      <c r="E674" s="139"/>
      <c r="T674" s="139" t="s">
        <v>1140</v>
      </c>
      <c r="U674" s="108" t="s">
        <v>1215</v>
      </c>
      <c r="V674" s="107">
        <v>6.4</v>
      </c>
    </row>
    <row r="675" spans="1:22">
      <c r="A675" s="137" t="s">
        <v>1216</v>
      </c>
      <c r="B675" s="59">
        <f>+B674+1</f>
        <v>667</v>
      </c>
      <c r="C675" s="102">
        <v>15</v>
      </c>
      <c r="D675" s="92" t="str">
        <f>+A675</f>
        <v>INSULIN ANTIBODIES (send away)</v>
      </c>
      <c r="E675" s="139"/>
      <c r="T675" s="139" t="s">
        <v>1141</v>
      </c>
      <c r="U675" s="108" t="s">
        <v>1217</v>
      </c>
      <c r="V675" s="107">
        <v>10.5</v>
      </c>
    </row>
    <row r="676" spans="1:22">
      <c r="A676" s="137" t="s">
        <v>829</v>
      </c>
      <c r="B676" s="59">
        <f>+B675+1</f>
        <v>668</v>
      </c>
      <c r="C676" s="102">
        <v>13.9</v>
      </c>
      <c r="D676" s="92" t="str">
        <f>+A676</f>
        <v>INTRINSIC FACTOR ASSAY</v>
      </c>
      <c r="E676" s="139"/>
      <c r="T676" s="139" t="s">
        <v>1218</v>
      </c>
      <c r="U676" s="108" t="s">
        <v>1219</v>
      </c>
      <c r="V676" s="107">
        <v>13.3</v>
      </c>
    </row>
    <row r="677" spans="1:22">
      <c r="A677" s="137" t="s">
        <v>1220</v>
      </c>
      <c r="B677" s="59">
        <f>+B676+1</f>
        <v>669</v>
      </c>
      <c r="C677" s="102">
        <v>11.9</v>
      </c>
      <c r="D677" s="92" t="str">
        <f>+A677</f>
        <v>ISLET CELL ANTIBODY </v>
      </c>
      <c r="E677" s="139"/>
      <c r="T677" s="139" t="s">
        <v>1221</v>
      </c>
      <c r="U677" s="108" t="s">
        <v>1222</v>
      </c>
      <c r="V677" s="107">
        <v>13.3</v>
      </c>
    </row>
    <row r="678" spans="1:22">
      <c r="A678" s="137" t="s">
        <v>1223</v>
      </c>
      <c r="B678" s="59">
        <f>+B677+1</f>
        <v>670</v>
      </c>
      <c r="C678" s="102">
        <v>12.5</v>
      </c>
      <c r="D678" s="92" t="str">
        <f>+A678</f>
        <v>COMPLEMENT C2</v>
      </c>
      <c r="E678" s="139"/>
      <c r="T678" s="139" t="s">
        <v>1142</v>
      </c>
      <c r="U678" s="108" t="s">
        <v>1224</v>
      </c>
      <c r="V678" s="107">
        <v>10.5</v>
      </c>
    </row>
    <row r="679" spans="1:22">
      <c r="A679" s="137" t="s">
        <v>1225</v>
      </c>
      <c r="B679" s="59">
        <f>+B678+1</f>
        <v>671</v>
      </c>
      <c r="C679" s="102">
        <v>17.6</v>
      </c>
      <c r="D679" s="92" t="str">
        <f>+A679</f>
        <v>ISOELECTRIC FOCUSING (CSF) </v>
      </c>
      <c r="E679" s="139"/>
      <c r="T679" s="139" t="s">
        <v>1143</v>
      </c>
      <c r="U679" s="108" t="s">
        <v>1226</v>
      </c>
      <c r="V679" s="107">
        <v>21.8</v>
      </c>
    </row>
    <row r="680" spans="1:22">
      <c r="A680" s="137" t="s">
        <v>1227</v>
      </c>
      <c r="B680" s="59">
        <f>+B679+1</f>
        <v>672</v>
      </c>
      <c r="C680" s="102">
        <v>17.6</v>
      </c>
      <c r="D680" s="92" t="str">
        <f>+A680</f>
        <v>ISOELECTRIC FOCUSING (SERUM OR URINE) </v>
      </c>
      <c r="E680" s="139"/>
      <c r="T680" s="139" t="s">
        <v>1144</v>
      </c>
      <c r="U680" s="108" t="s">
        <v>1228</v>
      </c>
      <c r="V680" s="107">
        <v>12.7</v>
      </c>
    </row>
    <row r="681" spans="1:22">
      <c r="A681" s="137" t="s">
        <v>1229</v>
      </c>
      <c r="B681" s="59">
        <f>+B680+1</f>
        <v>673</v>
      </c>
      <c r="C681" s="102">
        <v>10.6</v>
      </c>
      <c r="D681" s="92" t="str">
        <f>+A681</f>
        <v>KAPPA BJP</v>
      </c>
      <c r="E681" s="139"/>
      <c r="T681" s="139" t="s">
        <v>1230</v>
      </c>
      <c r="U681" s="108" t="s">
        <v>1231</v>
      </c>
      <c r="V681" s="107">
        <v>13.3</v>
      </c>
    </row>
    <row r="682" spans="1:22" ht="20">
      <c r="A682" s="137" t="s">
        <v>1232</v>
      </c>
      <c r="B682" s="59">
        <f>+B681+1</f>
        <v>674</v>
      </c>
      <c r="C682" s="102">
        <v>10.6</v>
      </c>
      <c r="D682" s="92" t="str">
        <f>+A682</f>
        <v>LAMDA BJP</v>
      </c>
      <c r="E682" s="142"/>
      <c r="T682" s="142" t="s">
        <v>1233</v>
      </c>
      <c r="U682" s="141" t="s">
        <v>1234</v>
      </c>
      <c r="V682" s="107">
        <v>17.7</v>
      </c>
    </row>
    <row r="683" spans="1:22">
      <c r="A683" s="137" t="s">
        <v>1235</v>
      </c>
      <c r="B683" s="59">
        <f>+B682+1</f>
        <v>675</v>
      </c>
      <c r="C683" s="102">
        <v>5.8</v>
      </c>
      <c r="D683" s="92" t="str">
        <f>+A683</f>
        <v>LIVER SCREEN</v>
      </c>
      <c r="E683" s="139"/>
      <c r="T683" s="139" t="s">
        <v>1236</v>
      </c>
      <c r="U683" s="108" t="s">
        <v>1237</v>
      </c>
      <c r="V683" s="107">
        <v>17.6</v>
      </c>
    </row>
    <row r="684" spans="1:22">
      <c r="A684" s="137" t="s">
        <v>1238</v>
      </c>
      <c r="B684" s="59">
        <f>+B683+1</f>
        <v>676</v>
      </c>
      <c r="C684" s="102">
        <v>10.5</v>
      </c>
      <c r="D684" s="92" t="str">
        <f>+A684</f>
        <v>M2 MITOCHONDRIAL ANTIBODY </v>
      </c>
      <c r="E684" s="139"/>
      <c r="T684" s="139" t="s">
        <v>1146</v>
      </c>
      <c r="U684" s="108" t="s">
        <v>1239</v>
      </c>
      <c r="V684" s="107">
        <v>19</v>
      </c>
    </row>
    <row r="685" spans="1:22">
      <c r="A685" s="137" t="s">
        <v>1240</v>
      </c>
      <c r="B685" s="59">
        <f>+B684+1</f>
        <v>677</v>
      </c>
      <c r="C685" s="102">
        <v>15</v>
      </c>
      <c r="D685" s="92" t="str">
        <f>+A685</f>
        <v>MPO ANTIBODIES</v>
      </c>
      <c r="E685" s="139"/>
      <c r="T685" s="139" t="s">
        <v>1241</v>
      </c>
      <c r="U685" s="108" t="s">
        <v>1242</v>
      </c>
      <c r="V685" s="107">
        <v>13.3</v>
      </c>
    </row>
    <row r="686" spans="1:22">
      <c r="A686" s="137" t="s">
        <v>1243</v>
      </c>
      <c r="B686" s="59">
        <f>+B685+1</f>
        <v>678</v>
      </c>
      <c r="C686" s="102">
        <v>15</v>
      </c>
      <c r="D686" s="92" t="str">
        <f>+A686</f>
        <v>MPO ANTIBODIES (NEW METHOD)</v>
      </c>
      <c r="E686" s="139"/>
      <c r="T686" s="139" t="s">
        <v>1244</v>
      </c>
      <c r="U686" s="108" t="s">
        <v>1245</v>
      </c>
      <c r="V686" s="107">
        <v>13.3</v>
      </c>
    </row>
    <row r="687" spans="1:22">
      <c r="A687" s="137" t="s">
        <v>1246</v>
      </c>
      <c r="B687" s="59">
        <f>+B686+1</f>
        <v>679</v>
      </c>
      <c r="C687" s="102">
        <v>25.8</v>
      </c>
      <c r="D687" s="92" t="str">
        <f>+A687</f>
        <v>NUCLEOSOMES</v>
      </c>
      <c r="E687" s="139"/>
      <c r="T687" s="139" t="s">
        <v>1053</v>
      </c>
      <c r="U687" s="108" t="s">
        <v>1247</v>
      </c>
      <c r="V687" s="107">
        <v>10.1</v>
      </c>
    </row>
    <row r="688" spans="1:22">
      <c r="A688" s="137" t="s">
        <v>1248</v>
      </c>
      <c r="B688" s="59">
        <f>+B687+1</f>
        <v>680</v>
      </c>
      <c r="C688" s="102">
        <v>12.5</v>
      </c>
      <c r="D688" s="92" t="str">
        <f>+A688</f>
        <v>OVARIAN ANTIBODY </v>
      </c>
      <c r="E688" s="139"/>
      <c r="T688" s="139" t="s">
        <v>1148</v>
      </c>
      <c r="U688" s="108" t="s">
        <v>1249</v>
      </c>
      <c r="V688" s="107">
        <v>12.8</v>
      </c>
    </row>
    <row r="689" spans="1:22">
      <c r="A689" s="137" t="s">
        <v>1250</v>
      </c>
      <c r="B689" s="59">
        <f>+B688+1</f>
        <v>681</v>
      </c>
      <c r="C689" s="102">
        <v>20.2</v>
      </c>
      <c r="D689" s="92" t="str">
        <f>+A689</f>
        <v>PARATHYROID ANTIBODY (sent away)</v>
      </c>
      <c r="E689" s="139"/>
      <c r="T689" s="139" t="s">
        <v>1149</v>
      </c>
      <c r="U689" s="108" t="s">
        <v>1251</v>
      </c>
      <c r="V689" s="107">
        <v>21.6</v>
      </c>
    </row>
    <row r="690" spans="1:22">
      <c r="A690" s="137" t="s">
        <v>1252</v>
      </c>
      <c r="B690" s="59">
        <f>+B689+1</f>
        <v>682</v>
      </c>
      <c r="C690" s="102">
        <v>11.4</v>
      </c>
      <c r="D690" s="92" t="str">
        <f>+A690</f>
        <v>PEMPHIGOID/PEMPHIGUS ANTIBODYSKIN </v>
      </c>
      <c r="E690" s="139"/>
      <c r="T690" s="139" t="s">
        <v>1253</v>
      </c>
      <c r="U690" s="108" t="s">
        <v>1254</v>
      </c>
      <c r="V690" s="107">
        <v>13.3</v>
      </c>
    </row>
    <row r="691" spans="1:22">
      <c r="A691" s="137" t="s">
        <v>1255</v>
      </c>
      <c r="B691" s="59">
        <f>+B690+1</f>
        <v>683</v>
      </c>
      <c r="C691" s="102">
        <v>20.1</v>
      </c>
      <c r="D691" s="92" t="str">
        <f>+A691</f>
        <v>PITUITARY ANTIBODY (sent away)</v>
      </c>
      <c r="E691" s="139"/>
      <c r="T691" s="139" t="s">
        <v>1256</v>
      </c>
      <c r="U691" s="108" t="s">
        <v>1257</v>
      </c>
      <c r="V691" s="107">
        <v>13.3</v>
      </c>
    </row>
    <row r="692" spans="1:22">
      <c r="A692" s="137" t="s">
        <v>1258</v>
      </c>
      <c r="B692" s="59">
        <f>+B691+1</f>
        <v>684</v>
      </c>
      <c r="C692" s="102">
        <v>10.6</v>
      </c>
      <c r="D692" s="92" t="str">
        <f>+A692</f>
        <v>PNEUMOCCOCCUS</v>
      </c>
      <c r="E692" s="139"/>
      <c r="T692" s="139" t="s">
        <v>1259</v>
      </c>
      <c r="U692" s="108" t="s">
        <v>1260</v>
      </c>
      <c r="V692" s="107">
        <v>13.3</v>
      </c>
    </row>
    <row r="693" spans="1:22">
      <c r="A693" s="137" t="s">
        <v>1261</v>
      </c>
      <c r="B693" s="59">
        <f>+B692+1</f>
        <v>685</v>
      </c>
      <c r="C693" s="102">
        <v>31.5</v>
      </c>
      <c r="D693" s="92" t="str">
        <f>+A693</f>
        <v>PREVNAR ASSAY</v>
      </c>
      <c r="E693" s="139"/>
      <c r="T693" s="139" t="s">
        <v>1262</v>
      </c>
      <c r="U693" s="108" t="s">
        <v>1263</v>
      </c>
      <c r="V693" s="107">
        <v>13.3</v>
      </c>
    </row>
    <row r="694" spans="1:22">
      <c r="A694" s="137" t="s">
        <v>1264</v>
      </c>
      <c r="B694" s="59">
        <f>+B693+1</f>
        <v>686</v>
      </c>
      <c r="C694" s="102">
        <v>15</v>
      </c>
      <c r="D694" s="92" t="str">
        <f>+A694</f>
        <v>PR3 ANTIBODIES</v>
      </c>
      <c r="E694" s="139"/>
      <c r="T694" s="139" t="s">
        <v>1265</v>
      </c>
      <c r="U694" s="108" t="s">
        <v>1266</v>
      </c>
      <c r="V694" s="107">
        <v>13.3</v>
      </c>
    </row>
    <row r="695" spans="1:22">
      <c r="A695" s="137" t="s">
        <v>1267</v>
      </c>
      <c r="B695" s="59">
        <f>+B694+1</f>
        <v>687</v>
      </c>
      <c r="C695" s="102">
        <v>15</v>
      </c>
      <c r="D695" s="92" t="str">
        <f>+A695</f>
        <v>PR3 ANTIBODIES (NEW METHOD)</v>
      </c>
      <c r="E695" s="139"/>
      <c r="T695" s="139" t="s">
        <v>1150</v>
      </c>
      <c r="U695" s="108" t="s">
        <v>1268</v>
      </c>
      <c r="V695" s="107">
        <v>8.9</v>
      </c>
    </row>
    <row r="696" spans="1:22">
      <c r="A696" s="137" t="s">
        <v>1269</v>
      </c>
      <c r="B696" s="59">
        <f>+B695+1</f>
        <v>688</v>
      </c>
      <c r="C696" s="102">
        <v>60</v>
      </c>
      <c r="D696" s="92" t="str">
        <f>+A696</f>
        <v>PARANEOPLASTIC ANTIBODY</v>
      </c>
      <c r="E696" s="139"/>
      <c r="T696" s="139" t="s">
        <v>1151</v>
      </c>
      <c r="U696" s="108" t="s">
        <v>1270</v>
      </c>
      <c r="V696" s="107">
        <v>20</v>
      </c>
    </row>
    <row r="697" spans="1:22">
      <c r="A697" s="137" t="s">
        <v>1271</v>
      </c>
      <c r="B697" s="59">
        <f>+B696+1</f>
        <v>689</v>
      </c>
      <c r="C697" s="102">
        <v>12.5</v>
      </c>
      <c r="D697" s="92" t="str">
        <f>+A697</f>
        <v>PURKINJE CELL ANTIBODY (CSF)</v>
      </c>
      <c r="E697" s="139"/>
      <c r="T697" s="139" t="s">
        <v>1152</v>
      </c>
      <c r="U697" s="108" t="s">
        <v>1272</v>
      </c>
      <c r="V697" s="107">
        <v>20</v>
      </c>
    </row>
    <row r="698" spans="1:22">
      <c r="A698" s="137" t="s">
        <v>1271</v>
      </c>
      <c r="B698" s="59">
        <f>+B697+1</f>
        <v>690</v>
      </c>
      <c r="C698" s="102">
        <v>12.5</v>
      </c>
      <c r="D698" s="92" t="str">
        <f>+A698</f>
        <v>PURKINJE CELL ANTIBODY (CSF)</v>
      </c>
      <c r="E698" s="139"/>
      <c r="T698" s="139" t="s">
        <v>1157</v>
      </c>
      <c r="U698" s="108" t="s">
        <v>1176</v>
      </c>
      <c r="V698" s="107">
        <v>5.6</v>
      </c>
    </row>
    <row r="699" spans="1:22">
      <c r="A699" s="137" t="s">
        <v>1273</v>
      </c>
      <c r="B699" s="59">
        <f>+B698+1</f>
        <v>691</v>
      </c>
      <c r="C699" s="102">
        <v>12.5</v>
      </c>
      <c r="D699" s="92" t="str">
        <f>+A699</f>
        <v>PURKINJE CELL ANTIBODY (SERUM)</v>
      </c>
      <c r="E699" s="139"/>
      <c r="T699" s="139" t="s">
        <v>1158</v>
      </c>
      <c r="U699" s="108" t="s">
        <v>1274</v>
      </c>
      <c r="V699" s="107">
        <v>15.1</v>
      </c>
    </row>
    <row r="700" spans="1:22">
      <c r="A700" s="137" t="s">
        <v>1273</v>
      </c>
      <c r="B700" s="59">
        <f>+B699+1</f>
        <v>692</v>
      </c>
      <c r="C700" s="102">
        <v>12.5</v>
      </c>
      <c r="D700" s="92" t="str">
        <f>+A700</f>
        <v>PURKINJE CELL ANTIBODY (SERUM)</v>
      </c>
      <c r="E700" s="139"/>
      <c r="T700" s="139" t="s">
        <v>1159</v>
      </c>
      <c r="U700" s="108" t="s">
        <v>1275</v>
      </c>
      <c r="V700" s="107">
        <v>5.6</v>
      </c>
    </row>
    <row r="701" spans="1:22">
      <c r="A701" s="137" t="s">
        <v>1276</v>
      </c>
      <c r="B701" s="59">
        <f>+B700+1</f>
        <v>693</v>
      </c>
      <c r="C701" s="102">
        <v>11.1</v>
      </c>
      <c r="D701" s="92" t="str">
        <f>+A701</f>
        <v>GLOMERULAR BASEMENT MEMBRANE QUANTITATIVE</v>
      </c>
      <c r="E701" s="139"/>
      <c r="T701" s="139" t="s">
        <v>1160</v>
      </c>
      <c r="U701" s="108" t="s">
        <v>1277</v>
      </c>
      <c r="V701" s="107">
        <v>28.7</v>
      </c>
    </row>
    <row r="702" spans="1:22">
      <c r="A702" s="137" t="s">
        <v>1278</v>
      </c>
      <c r="B702" s="59">
        <f>+B701+1</f>
        <v>694</v>
      </c>
      <c r="C702" s="102">
        <v>3.1</v>
      </c>
      <c r="D702" s="92" t="str">
        <f>+A702</f>
        <v>RHEUMATOID FACTOR SCREEN</v>
      </c>
      <c r="E702" s="139"/>
      <c r="T702" s="139" t="s">
        <v>1162</v>
      </c>
      <c r="U702" s="108" t="s">
        <v>1279</v>
      </c>
      <c r="V702" s="107">
        <v>5.6</v>
      </c>
    </row>
    <row r="703" spans="1:22">
      <c r="A703" s="137" t="s">
        <v>1280</v>
      </c>
      <c r="B703" s="59">
        <f>+B702+1</f>
        <v>695</v>
      </c>
      <c r="C703" s="102">
        <v>8.4</v>
      </c>
      <c r="D703" s="92" t="str">
        <f>+A703</f>
        <v>RHEUMATOID FACTOR TITRE</v>
      </c>
      <c r="E703" s="139"/>
      <c r="T703" s="139" t="s">
        <v>1163</v>
      </c>
      <c r="U703" s="108" t="s">
        <v>1281</v>
      </c>
      <c r="V703" s="107">
        <v>20.2</v>
      </c>
    </row>
    <row r="704" spans="1:22">
      <c r="A704" s="137" t="s">
        <v>1282</v>
      </c>
      <c r="B704" s="59">
        <f>+B703+1</f>
        <v>696</v>
      </c>
      <c r="C704" s="102">
        <v>17.4</v>
      </c>
      <c r="D704" s="92" t="str">
        <f>+A704</f>
        <v>RNP</v>
      </c>
      <c r="E704" s="139"/>
      <c r="T704" s="139" t="s">
        <v>1164</v>
      </c>
      <c r="U704" s="108" t="s">
        <v>1283</v>
      </c>
      <c r="V704" s="107">
        <v>11.8</v>
      </c>
    </row>
    <row r="705" spans="1:22">
      <c r="A705" s="137" t="s">
        <v>1284</v>
      </c>
      <c r="B705" s="59">
        <f>+B704+1</f>
        <v>697</v>
      </c>
      <c r="C705" s="102">
        <v>5.6</v>
      </c>
      <c r="D705" s="92" t="str">
        <f>+A705</f>
        <v>SALIVARY ALBUMIN</v>
      </c>
      <c r="E705" s="139"/>
      <c r="T705" s="139" t="s">
        <v>1285</v>
      </c>
      <c r="U705" s="108" t="s">
        <v>1286</v>
      </c>
      <c r="V705" s="107">
        <v>13.3</v>
      </c>
    </row>
    <row r="706" spans="1:22">
      <c r="A706" s="137" t="s">
        <v>1287</v>
      </c>
      <c r="B706" s="59">
        <f>+B705+1</f>
        <v>698</v>
      </c>
      <c r="C706" s="102">
        <v>12.5</v>
      </c>
      <c r="D706" s="92" t="str">
        <f>+A706</f>
        <v>SALIVARY GLAND ANTIBODY </v>
      </c>
      <c r="E706" s="139"/>
      <c r="T706" s="139" t="s">
        <v>1288</v>
      </c>
      <c r="U706" s="108" t="s">
        <v>1289</v>
      </c>
      <c r="V706" s="107">
        <v>13.3</v>
      </c>
    </row>
    <row r="707" spans="1:22">
      <c r="A707" s="137" t="s">
        <v>1290</v>
      </c>
      <c r="B707" s="59">
        <f>+B706+1</f>
        <v>699</v>
      </c>
      <c r="C707" s="102">
        <v>5.6</v>
      </c>
      <c r="D707" s="92" t="str">
        <f>+A707</f>
        <v>SALIVARY IGA</v>
      </c>
      <c r="E707" s="139"/>
      <c r="T707" s="139" t="s">
        <v>1291</v>
      </c>
      <c r="U707" s="108" t="s">
        <v>1292</v>
      </c>
      <c r="V707" s="107">
        <v>13.3</v>
      </c>
    </row>
    <row r="708" spans="1:22">
      <c r="A708" s="137" t="s">
        <v>1293</v>
      </c>
      <c r="B708" s="59">
        <f>+B707+1</f>
        <v>700</v>
      </c>
      <c r="C708" s="102">
        <v>0</v>
      </c>
      <c r="D708" s="92" t="str">
        <f>+A708</f>
        <v>SCANNED MONOCLONAL COMPONENT</v>
      </c>
      <c r="E708" s="139"/>
      <c r="T708" s="139" t="s">
        <v>1165</v>
      </c>
      <c r="U708" s="108" t="s">
        <v>1294</v>
      </c>
      <c r="V708" s="107">
        <v>21</v>
      </c>
    </row>
    <row r="709" spans="1:22">
      <c r="A709" s="137" t="s">
        <v>1295</v>
      </c>
      <c r="B709" s="59">
        <f>+B708+1</f>
        <v>701</v>
      </c>
      <c r="C709" s="102">
        <v>5.6</v>
      </c>
      <c r="D709" s="92" t="str">
        <f>+A709</f>
        <v>SERUM ALBUMIN </v>
      </c>
      <c r="E709" s="139"/>
      <c r="T709" s="139" t="s">
        <v>1166</v>
      </c>
      <c r="U709" s="108" t="s">
        <v>1296</v>
      </c>
      <c r="V709" s="107">
        <v>22.2</v>
      </c>
    </row>
    <row r="710" spans="1:22">
      <c r="A710" s="137" t="s">
        <v>1297</v>
      </c>
      <c r="B710" s="59">
        <f>+B709+1</f>
        <v>702</v>
      </c>
      <c r="C710" s="102">
        <v>19</v>
      </c>
      <c r="D710" s="92" t="str">
        <f>+A710</f>
        <v>SERUM ELECTROPHORESIS PART OF IGS </v>
      </c>
      <c r="E710" s="139"/>
      <c r="T710" s="139" t="s">
        <v>1167</v>
      </c>
      <c r="U710" s="108" t="s">
        <v>1298</v>
      </c>
      <c r="V710" s="107">
        <v>5.6</v>
      </c>
    </row>
    <row r="711" spans="1:22">
      <c r="A711" s="137" t="s">
        <v>1299</v>
      </c>
      <c r="B711" s="59">
        <f>+B710+1</f>
        <v>703</v>
      </c>
      <c r="C711" s="102">
        <v>5.1</v>
      </c>
      <c r="D711" s="92" t="str">
        <f>+A711</f>
        <v>SERUM HAPTOGLOBINS</v>
      </c>
      <c r="E711" s="139"/>
      <c r="T711" s="139" t="s">
        <v>1168</v>
      </c>
      <c r="U711" s="108" t="s">
        <v>1300</v>
      </c>
      <c r="V711" s="107">
        <v>9.5</v>
      </c>
    </row>
    <row r="712" spans="1:22">
      <c r="A712" s="137" t="s">
        <v>1301</v>
      </c>
      <c r="B712" s="59">
        <f>+B711+1</f>
        <v>704</v>
      </c>
      <c r="C712" s="102">
        <v>10.1</v>
      </c>
      <c r="D712" s="92" t="str">
        <f>+A712</f>
        <v>SKELETAL MUSCLE ANTIBODY</v>
      </c>
      <c r="E712" s="139"/>
      <c r="T712" s="139" t="s">
        <v>1169</v>
      </c>
      <c r="U712" s="108" t="s">
        <v>1302</v>
      </c>
      <c r="V712" s="107">
        <v>9.5</v>
      </c>
    </row>
    <row r="713" spans="1:22">
      <c r="A713" s="137" t="s">
        <v>1303</v>
      </c>
      <c r="B713" s="59">
        <f>+B712+1</f>
        <v>705</v>
      </c>
      <c r="C713" s="102">
        <v>17.4</v>
      </c>
      <c r="D713" s="92" t="str">
        <f>+A713</f>
        <v>SM</v>
      </c>
      <c r="E713" s="139"/>
      <c r="T713" s="139" t="s">
        <v>1170</v>
      </c>
      <c r="U713" s="108" t="s">
        <v>1304</v>
      </c>
      <c r="V713" s="107">
        <v>20.5</v>
      </c>
    </row>
    <row r="714" spans="1:22">
      <c r="A714" s="137" t="s">
        <v>1305</v>
      </c>
      <c r="B714" s="59">
        <f>+B713+1</f>
        <v>706</v>
      </c>
      <c r="C714" s="102">
        <v>17.4</v>
      </c>
      <c r="D714" s="92" t="str">
        <f>+A714</f>
        <v>SSA</v>
      </c>
      <c r="E714" s="139"/>
      <c r="T714" s="139" t="s">
        <v>1172</v>
      </c>
      <c r="U714" s="108" t="s">
        <v>1306</v>
      </c>
      <c r="V714" s="107">
        <v>11.9</v>
      </c>
    </row>
    <row r="715" spans="1:22" ht="16">
      <c r="A715" s="137" t="s">
        <v>1307</v>
      </c>
      <c r="B715" s="59">
        <f>+B714+1</f>
        <v>707</v>
      </c>
      <c r="C715" s="102">
        <v>17.4</v>
      </c>
      <c r="D715" s="92" t="str">
        <f>+A715</f>
        <v>SSB</v>
      </c>
      <c r="E715" s="143"/>
      <c r="T715" s="143" t="s">
        <v>1308</v>
      </c>
      <c r="U715" s="141" t="s">
        <v>1309</v>
      </c>
      <c r="V715" s="107">
        <v>17.7</v>
      </c>
    </row>
    <row r="716" spans="1:22">
      <c r="A716" s="137" t="s">
        <v>1310</v>
      </c>
      <c r="B716" s="59">
        <f>+B715+1</f>
        <v>708</v>
      </c>
      <c r="C716" s="102">
        <v>14.6</v>
      </c>
      <c r="D716" s="92" t="str">
        <f>+A716</f>
        <v>STEROID CELL ANTIBODIES </v>
      </c>
      <c r="E716" s="143"/>
      <c r="T716" s="143" t="s">
        <v>1311</v>
      </c>
      <c r="U716" s="141" t="s">
        <v>1312</v>
      </c>
      <c r="V716" s="107">
        <v>17.7</v>
      </c>
    </row>
    <row r="717" spans="1:22" ht="20">
      <c r="A717" s="137" t="s">
        <v>1313</v>
      </c>
      <c r="B717" s="59">
        <f>+B716+1</f>
        <v>709</v>
      </c>
      <c r="C717" s="102">
        <v>10.6</v>
      </c>
      <c r="D717" s="92" t="str">
        <f>+A717</f>
        <v>TETANUS IGG TOTAL</v>
      </c>
      <c r="E717" s="142"/>
      <c r="T717" s="142" t="s">
        <v>1314</v>
      </c>
      <c r="U717" s="141" t="s">
        <v>1315</v>
      </c>
      <c r="V717" s="107">
        <v>17.7</v>
      </c>
    </row>
    <row r="718" spans="1:22" ht="20">
      <c r="A718" s="137" t="s">
        <v>1316</v>
      </c>
      <c r="B718" s="59">
        <f>+B717+1</f>
        <v>710</v>
      </c>
      <c r="C718" s="102">
        <v>12.5</v>
      </c>
      <c r="D718" s="92" t="str">
        <f>+A718</f>
        <v>THYROID PEROXIDASE ANTIBODY</v>
      </c>
      <c r="E718" s="142"/>
      <c r="T718" s="142" t="s">
        <v>1317</v>
      </c>
      <c r="U718" s="141" t="s">
        <v>1318</v>
      </c>
      <c r="V718" s="107">
        <v>17.7</v>
      </c>
    </row>
    <row r="719" spans="1:22">
      <c r="A719" s="137" t="s">
        <v>1319</v>
      </c>
      <c r="B719" s="59">
        <f>+B718+1</f>
        <v>711</v>
      </c>
      <c r="C719" s="102">
        <v>6.7</v>
      </c>
      <c r="D719" s="92" t="str">
        <f>+A719</f>
        <v>TISSUE TRANSGLUTAMINASE IgA</v>
      </c>
      <c r="E719" s="142"/>
      <c r="T719" s="138" t="s">
        <v>1177</v>
      </c>
      <c r="U719" s="108" t="s">
        <v>1320</v>
      </c>
      <c r="V719" s="107">
        <v>31.5</v>
      </c>
    </row>
    <row r="720" spans="1:22">
      <c r="A720" s="137" t="s">
        <v>1321</v>
      </c>
      <c r="B720" s="59">
        <f>+B719+1</f>
        <v>712</v>
      </c>
      <c r="C720" s="102">
        <v>10.1</v>
      </c>
      <c r="D720" s="92" t="str">
        <f>+A720</f>
        <v>TISSUE TRANSGLUTAMINASE IgG</v>
      </c>
      <c r="E720" s="139"/>
      <c r="T720" s="139" t="s">
        <v>1322</v>
      </c>
      <c r="U720" s="108" t="s">
        <v>1323</v>
      </c>
      <c r="V720" s="107">
        <v>19</v>
      </c>
    </row>
    <row r="721" spans="1:22">
      <c r="A721" s="137" t="s">
        <v>1324</v>
      </c>
      <c r="B721" s="59">
        <f>+B720+1</f>
        <v>713</v>
      </c>
      <c r="C721" s="102">
        <v>20</v>
      </c>
      <c r="D721" s="92" t="str">
        <f>+A721</f>
        <v>TRYPTASE </v>
      </c>
      <c r="E721" s="139"/>
      <c r="T721" s="139" t="s">
        <v>1179</v>
      </c>
      <c r="U721" s="108" t="s">
        <v>1325</v>
      </c>
      <c r="V721" s="107">
        <v>5.8</v>
      </c>
    </row>
    <row r="722" spans="1:22">
      <c r="A722" s="137" t="s">
        <v>1326</v>
      </c>
      <c r="B722" s="59">
        <f>+B721+1</f>
        <v>714</v>
      </c>
      <c r="C722" s="102">
        <v>7.7</v>
      </c>
      <c r="D722" s="92" t="str">
        <f>+A722</f>
        <v>UNLABELLED SAMPLE</v>
      </c>
      <c r="E722" s="138"/>
      <c r="T722" s="138" t="s">
        <v>1182</v>
      </c>
      <c r="U722" s="108" t="s">
        <v>1327</v>
      </c>
      <c r="V722" s="107">
        <v>14.6</v>
      </c>
    </row>
    <row r="723" spans="1:22">
      <c r="A723" s="137" t="s">
        <v>1328</v>
      </c>
      <c r="B723" s="59">
        <f>+B722+1</f>
        <v>715</v>
      </c>
      <c r="C723" s="102">
        <v>10.5</v>
      </c>
      <c r="D723" s="92" t="str">
        <f>+A723</f>
        <v>ELECTROPHORESIS URINE (BJP)</v>
      </c>
      <c r="E723" s="139"/>
      <c r="T723" s="139" t="s">
        <v>1329</v>
      </c>
      <c r="U723" s="108" t="s">
        <v>1330</v>
      </c>
      <c r="V723" s="107">
        <v>13.3</v>
      </c>
    </row>
    <row r="724" spans="1:22">
      <c r="A724" s="137" t="s">
        <v>1331</v>
      </c>
      <c r="B724" s="59">
        <f>+B723+1</f>
        <v>716</v>
      </c>
      <c r="C724" s="102">
        <v>20.2</v>
      </c>
      <c r="D724" s="92" t="str">
        <f>+A724</f>
        <v>IMMUNOELECTROPHORESIS  (URINE)</v>
      </c>
      <c r="E724" s="139"/>
      <c r="T724" s="139" t="s">
        <v>1332</v>
      </c>
      <c r="U724" s="108" t="s">
        <v>1333</v>
      </c>
      <c r="V724" s="107">
        <v>19</v>
      </c>
    </row>
    <row r="725" spans="1:22">
      <c r="A725" s="137" t="s">
        <v>1334</v>
      </c>
      <c r="B725" s="59">
        <f>+B724+1</f>
        <v>717</v>
      </c>
      <c r="C725" s="102">
        <v>17.6</v>
      </c>
      <c r="D725" s="92" t="str">
        <f>+A725</f>
        <v>ISOELECTRIC FOCUSING  (URINE)</v>
      </c>
      <c r="E725" s="139"/>
      <c r="T725" s="139" t="s">
        <v>1335</v>
      </c>
      <c r="U725" s="108" t="s">
        <v>1336</v>
      </c>
      <c r="V725" s="107">
        <v>17.7</v>
      </c>
    </row>
    <row r="726" spans="1:22">
      <c r="A726" s="137" t="s">
        <v>1337</v>
      </c>
      <c r="B726" s="59">
        <f>+B725+1</f>
        <v>718</v>
      </c>
      <c r="C726" s="102">
        <v>50</v>
      </c>
      <c r="D726" s="92" t="str">
        <f>+A726</f>
        <v>VOLTAGE GATED CALCIUM CHANNEL(SENDAWAY)</v>
      </c>
      <c r="E726" s="139"/>
      <c r="T726" s="139" t="s">
        <v>1185</v>
      </c>
      <c r="U726" s="108" t="s">
        <v>1338</v>
      </c>
      <c r="V726" s="107">
        <v>10.6</v>
      </c>
    </row>
    <row r="727" spans="1:22">
      <c r="A727" s="137" t="s">
        <v>1339</v>
      </c>
      <c r="B727" s="59">
        <f>+B726+1</f>
        <v>719</v>
      </c>
      <c r="C727" s="102">
        <v>50</v>
      </c>
      <c r="D727" s="92" t="str">
        <f>+A727</f>
        <v>VOLTAGE GATED POTASSIUM CHANNEL (send away)</v>
      </c>
      <c r="E727" s="139"/>
      <c r="T727" s="139" t="s">
        <v>1340</v>
      </c>
      <c r="U727" s="108" t="s">
        <v>1341</v>
      </c>
      <c r="V727" s="107">
        <v>13.3</v>
      </c>
    </row>
    <row r="728" spans="1:22">
      <c r="A728" s="137" t="s">
        <v>1125</v>
      </c>
      <c r="B728" s="59">
        <f>+B727+1</f>
        <v>720</v>
      </c>
      <c r="C728" s="102">
        <v>17.7</v>
      </c>
      <c r="D728" s="92" t="str">
        <f>+A728</f>
        <v>ALLERGEN SPECIFIC IgE PANEL (PER PANEL)</v>
      </c>
      <c r="E728" s="139"/>
      <c r="T728" s="139" t="s">
        <v>1187</v>
      </c>
      <c r="U728" s="108" t="s">
        <v>1187</v>
      </c>
      <c r="V728" s="107">
        <v>12.8</v>
      </c>
    </row>
    <row r="729" spans="1:22">
      <c r="A729" s="137" t="s">
        <v>1171</v>
      </c>
      <c r="B729" s="59">
        <f>+B728+1</f>
        <v>721</v>
      </c>
      <c r="C729" s="102">
        <v>13.3</v>
      </c>
      <c r="D729" s="92" t="str">
        <f>+A729</f>
        <v>ALLERGEN SPECIFIC IgE SINGLE (PER ALLERGEN)</v>
      </c>
      <c r="E729" s="139"/>
      <c r="T729" s="139" t="s">
        <v>1189</v>
      </c>
      <c r="U729" s="108" t="s">
        <v>1342</v>
      </c>
      <c r="V729" s="107">
        <v>20.5</v>
      </c>
    </row>
    <row r="730" spans="1:22">
      <c r="A730" s="137" t="s">
        <v>1173</v>
      </c>
      <c r="B730" s="59">
        <f>+B729+1</f>
        <v>722</v>
      </c>
      <c r="C730" s="102">
        <v>13.3</v>
      </c>
      <c r="D730" s="92" t="str">
        <f>+A730</f>
        <v>ALMOND </v>
      </c>
      <c r="E730" s="139"/>
      <c r="T730" s="139" t="s">
        <v>1343</v>
      </c>
      <c r="U730" s="108" t="s">
        <v>1344</v>
      </c>
      <c r="V730" s="107">
        <v>13.3</v>
      </c>
    </row>
    <row r="731" spans="1:22">
      <c r="A731" s="137" t="s">
        <v>1345</v>
      </c>
      <c r="B731" s="59">
        <f>+B730+1</f>
        <v>723</v>
      </c>
      <c r="C731" s="102">
        <v>13.3</v>
      </c>
      <c r="D731" s="92" t="str">
        <f>+A731</f>
        <v>AMOXICILLIN</v>
      </c>
      <c r="E731" s="139"/>
      <c r="T731" s="139" t="s">
        <v>1346</v>
      </c>
      <c r="U731" s="108" t="s">
        <v>1347</v>
      </c>
      <c r="V731" s="107">
        <v>13.3</v>
      </c>
    </row>
    <row r="732" spans="1:22">
      <c r="A732" s="137" t="s">
        <v>1348</v>
      </c>
      <c r="B732" s="59">
        <f>+B731+1</f>
        <v>724</v>
      </c>
      <c r="C732" s="102">
        <v>13.3</v>
      </c>
      <c r="D732" s="92" t="str">
        <f>+A732</f>
        <v>AMPICILLIN</v>
      </c>
      <c r="E732" s="139"/>
      <c r="T732" s="139" t="s">
        <v>1349</v>
      </c>
      <c r="U732" s="108" t="s">
        <v>1350</v>
      </c>
      <c r="V732" s="107">
        <v>13.3</v>
      </c>
    </row>
    <row r="733" spans="1:22">
      <c r="A733" s="137" t="s">
        <v>1180</v>
      </c>
      <c r="B733" s="59">
        <f>+B732+1</f>
        <v>725</v>
      </c>
      <c r="C733" s="102">
        <v>17.7</v>
      </c>
      <c r="D733" s="92" t="str">
        <f>+A733</f>
        <v>ANIMAL PANEL 1(CAT EPITHELIUM-HORSE DANDER-COW DANDER- DOG DANDER)   </v>
      </c>
      <c r="E733" s="139"/>
      <c r="T733" s="139" t="s">
        <v>1191</v>
      </c>
      <c r="U733" s="108" t="s">
        <v>1351</v>
      </c>
      <c r="V733" s="107">
        <v>10.1</v>
      </c>
    </row>
    <row r="734" spans="1:22">
      <c r="A734" s="137" t="s">
        <v>1200</v>
      </c>
      <c r="B734" s="59">
        <f>+B733+1</f>
        <v>726</v>
      </c>
      <c r="C734" s="102">
        <v>13.3</v>
      </c>
      <c r="D734" s="92" t="str">
        <f>+A734</f>
        <v>ASPERGILLUS FUMIGATUS </v>
      </c>
      <c r="E734" s="139"/>
      <c r="T734" s="139" t="s">
        <v>1193</v>
      </c>
      <c r="U734" s="108" t="s">
        <v>1352</v>
      </c>
      <c r="V734" s="107">
        <v>25.3</v>
      </c>
    </row>
    <row r="735" spans="1:22">
      <c r="A735" s="137" t="s">
        <v>1205</v>
      </c>
      <c r="B735" s="59">
        <f>+B734+1</f>
        <v>727</v>
      </c>
      <c r="C735" s="102">
        <v>13.3</v>
      </c>
      <c r="D735" s="92" t="str">
        <f>+A735</f>
        <v>AVACADO</v>
      </c>
      <c r="E735" s="139"/>
      <c r="T735" s="139" t="s">
        <v>1199</v>
      </c>
      <c r="U735" s="108" t="s">
        <v>1353</v>
      </c>
      <c r="V735" s="107">
        <v>37.8</v>
      </c>
    </row>
    <row r="736" spans="1:22">
      <c r="A736" s="137" t="s">
        <v>1210</v>
      </c>
      <c r="B736" s="59">
        <f>+B735+1</f>
        <v>728</v>
      </c>
      <c r="C736" s="102">
        <v>13.3</v>
      </c>
      <c r="D736" s="92" t="str">
        <f>+A736</f>
        <v>BANANA</v>
      </c>
      <c r="E736" s="139"/>
      <c r="T736" s="139" t="s">
        <v>1354</v>
      </c>
      <c r="U736" s="108" t="s">
        <v>1355</v>
      </c>
      <c r="V736" s="107">
        <v>37.8</v>
      </c>
    </row>
    <row r="737" spans="1:22">
      <c r="A737" s="137" t="s">
        <v>1218</v>
      </c>
      <c r="B737" s="59">
        <f>+B736+1</f>
        <v>729</v>
      </c>
      <c r="C737" s="102">
        <v>13.3</v>
      </c>
      <c r="D737" s="92" t="str">
        <f>+A737</f>
        <v>BIRCH POLLEN</v>
      </c>
      <c r="E737" s="139"/>
      <c r="T737" s="139" t="s">
        <v>1202</v>
      </c>
      <c r="U737" s="108" t="s">
        <v>1356</v>
      </c>
      <c r="V737" s="107">
        <v>5.6</v>
      </c>
    </row>
    <row r="738" spans="1:22">
      <c r="A738" s="137" t="s">
        <v>1221</v>
      </c>
      <c r="B738" s="59">
        <f>+B737+1</f>
        <v>730</v>
      </c>
      <c r="C738" s="102">
        <v>13.3</v>
      </c>
      <c r="D738" s="92" t="str">
        <f>+A738</f>
        <v>BRAZIL NUT </v>
      </c>
      <c r="E738" s="139"/>
      <c r="T738" s="139" t="s">
        <v>1204</v>
      </c>
      <c r="U738" s="108" t="s">
        <v>1357</v>
      </c>
      <c r="V738" s="107">
        <v>7</v>
      </c>
    </row>
    <row r="739" spans="1:22">
      <c r="A739" s="137" t="s">
        <v>1230</v>
      </c>
      <c r="B739" s="59">
        <f>+B738+1</f>
        <v>731</v>
      </c>
      <c r="C739" s="102">
        <v>13.3</v>
      </c>
      <c r="D739" s="92" t="str">
        <f>+A739</f>
        <v>CACAO</v>
      </c>
      <c r="E739" s="139"/>
      <c r="T739" s="139"/>
      <c r="U739" s="108"/>
      <c r="V739" s="107"/>
    </row>
    <row r="740" spans="1:22">
      <c r="A740" s="137" t="s">
        <v>1233</v>
      </c>
      <c r="B740" s="59">
        <f>+B739+1</f>
        <v>732</v>
      </c>
      <c r="C740" s="102">
        <v>17.7</v>
      </c>
      <c r="D740" s="92" t="str">
        <f>+A740</f>
        <v>CAGEBIRD FEATHER MIX (Budgie Canary Parakeet Parrot Finch)</v>
      </c>
      <c r="E740" s="139"/>
      <c r="T740" s="139" t="s">
        <v>1207</v>
      </c>
      <c r="U740" s="108" t="s">
        <v>1358</v>
      </c>
      <c r="V740" s="107">
        <v>5.6</v>
      </c>
    </row>
    <row r="741" spans="1:22">
      <c r="A741" s="137" t="s">
        <v>1241</v>
      </c>
      <c r="B741" s="59">
        <f>+B740+1</f>
        <v>733</v>
      </c>
      <c r="C741" s="102">
        <v>13.3</v>
      </c>
      <c r="D741" s="92" t="str">
        <f>+A741</f>
        <v>CASHEW NUT</v>
      </c>
      <c r="E741" s="139"/>
      <c r="T741" s="139" t="s">
        <v>1209</v>
      </c>
      <c r="U741" s="108" t="s">
        <v>1359</v>
      </c>
      <c r="V741" s="107">
        <v>5.6</v>
      </c>
    </row>
    <row r="742" spans="1:22">
      <c r="A742" s="137" t="s">
        <v>1244</v>
      </c>
      <c r="B742" s="59">
        <f>+B741+1</f>
        <v>734</v>
      </c>
      <c r="C742" s="102">
        <v>13.3</v>
      </c>
      <c r="D742" s="92" t="str">
        <f>+A742</f>
        <v>CAT EPITHELIUM </v>
      </c>
      <c r="E742" s="139"/>
      <c r="T742" s="139" t="s">
        <v>1212</v>
      </c>
      <c r="U742" s="108" t="s">
        <v>1360</v>
      </c>
      <c r="V742" s="107">
        <v>5.6</v>
      </c>
    </row>
    <row r="743" spans="1:22">
      <c r="A743" s="137" t="s">
        <v>1253</v>
      </c>
      <c r="B743" s="59">
        <f>+B742+1</f>
        <v>735</v>
      </c>
      <c r="C743" s="102">
        <v>13.3</v>
      </c>
      <c r="D743" s="92" t="str">
        <f>+A743</f>
        <v>CHEESE- CHEDDAR TYPE </v>
      </c>
      <c r="E743" s="138"/>
      <c r="T743" s="138" t="s">
        <v>1214</v>
      </c>
      <c r="U743" s="108" t="s">
        <v>1361</v>
      </c>
      <c r="V743" s="107">
        <v>22.7</v>
      </c>
    </row>
    <row r="744" spans="1:22">
      <c r="A744" s="137" t="s">
        <v>1256</v>
      </c>
      <c r="B744" s="59">
        <f>+B743+1</f>
        <v>736</v>
      </c>
      <c r="C744" s="102">
        <v>13.3</v>
      </c>
      <c r="D744" s="92" t="str">
        <f>+A744</f>
        <v>CHICKEN MEAT </v>
      </c>
      <c r="E744" s="139"/>
      <c r="T744" s="139" t="s">
        <v>1220</v>
      </c>
      <c r="U744" s="108" t="s">
        <v>1362</v>
      </c>
      <c r="V744" s="107">
        <v>11.9</v>
      </c>
    </row>
    <row r="745" spans="1:22">
      <c r="A745" s="137" t="s">
        <v>1259</v>
      </c>
      <c r="B745" s="59">
        <f>+B744+1</f>
        <v>737</v>
      </c>
      <c r="C745" s="102">
        <v>13.3</v>
      </c>
      <c r="D745" s="92" t="str">
        <f>+A745</f>
        <v>CHLORHEXIDINE</v>
      </c>
      <c r="E745" s="139"/>
      <c r="T745" s="139" t="s">
        <v>1225</v>
      </c>
      <c r="U745" s="108" t="s">
        <v>1363</v>
      </c>
      <c r="V745" s="107">
        <v>17.6</v>
      </c>
    </row>
    <row r="746" spans="1:22">
      <c r="A746" s="137" t="s">
        <v>1262</v>
      </c>
      <c r="B746" s="59">
        <f>+B745+1</f>
        <v>738</v>
      </c>
      <c r="C746" s="102">
        <v>13.3</v>
      </c>
      <c r="D746" s="92" t="str">
        <f>+A746</f>
        <v>COCONUT</v>
      </c>
      <c r="E746" s="139"/>
      <c r="T746" s="139" t="s">
        <v>1227</v>
      </c>
      <c r="U746" s="108" t="s">
        <v>1364</v>
      </c>
      <c r="V746" s="107">
        <v>17.6</v>
      </c>
    </row>
    <row r="747" spans="1:22">
      <c r="A747" s="137" t="s">
        <v>1265</v>
      </c>
      <c r="B747" s="59">
        <f>+B746+1</f>
        <v>739</v>
      </c>
      <c r="C747" s="102">
        <v>13.3</v>
      </c>
      <c r="D747" s="92" t="str">
        <f>+A747</f>
        <v>CODFISH </v>
      </c>
      <c r="E747" s="139"/>
      <c r="T747" s="139" t="s">
        <v>1229</v>
      </c>
      <c r="U747" s="108" t="s">
        <v>1365</v>
      </c>
      <c r="V747" s="107">
        <v>10.6</v>
      </c>
    </row>
    <row r="748" spans="1:22">
      <c r="A748" s="137" t="s">
        <v>1285</v>
      </c>
      <c r="B748" s="59">
        <f>+B747+1</f>
        <v>740</v>
      </c>
      <c r="C748" s="102">
        <v>13.3</v>
      </c>
      <c r="D748" s="92" t="str">
        <f>+A748</f>
        <v>DOG DANDER </v>
      </c>
      <c r="E748" s="139"/>
      <c r="T748" s="139" t="s">
        <v>1366</v>
      </c>
      <c r="U748" s="108" t="s">
        <v>1367</v>
      </c>
      <c r="V748" s="107">
        <v>13.3</v>
      </c>
    </row>
    <row r="749" spans="1:22">
      <c r="A749" s="137" t="s">
        <v>1288</v>
      </c>
      <c r="B749" s="59">
        <f>+B748+1</f>
        <v>741</v>
      </c>
      <c r="C749" s="102">
        <v>13.3</v>
      </c>
      <c r="D749" s="92" t="str">
        <f>+A749</f>
        <v>EGG WHITE </v>
      </c>
      <c r="E749" s="139"/>
      <c r="T749" s="139" t="s">
        <v>1232</v>
      </c>
      <c r="U749" s="108" t="s">
        <v>1368</v>
      </c>
      <c r="V749" s="107">
        <v>10.6</v>
      </c>
    </row>
    <row r="750" spans="1:22">
      <c r="A750" s="137" t="s">
        <v>1291</v>
      </c>
      <c r="B750" s="59">
        <f>+B749+1</f>
        <v>742</v>
      </c>
      <c r="C750" s="102">
        <v>13.3</v>
      </c>
      <c r="D750" s="92" t="str">
        <f>+A750</f>
        <v>EGG YOLK </v>
      </c>
      <c r="E750" s="139"/>
      <c r="T750" s="139" t="s">
        <v>1369</v>
      </c>
      <c r="U750" s="108" t="s">
        <v>1370</v>
      </c>
      <c r="V750" s="107">
        <v>13.3</v>
      </c>
    </row>
    <row r="751" spans="1:22">
      <c r="A751" s="137" t="s">
        <v>1371</v>
      </c>
      <c r="B751" s="59">
        <f>+B750+1</f>
        <v>743</v>
      </c>
      <c r="C751" s="102">
        <v>13.3</v>
      </c>
      <c r="D751" s="92" t="str">
        <f>+A751</f>
        <v>EGG (WHOLE)</v>
      </c>
      <c r="E751" s="139"/>
      <c r="T751" s="139" t="s">
        <v>1372</v>
      </c>
      <c r="U751" s="108" t="s">
        <v>1373</v>
      </c>
      <c r="V751" s="107">
        <v>13.3</v>
      </c>
    </row>
    <row r="752" spans="1:22">
      <c r="A752" s="137" t="s">
        <v>1308</v>
      </c>
      <c r="B752" s="59">
        <f>+B751+1</f>
        <v>744</v>
      </c>
      <c r="C752" s="102">
        <v>17.7</v>
      </c>
      <c r="D752" s="92" t="str">
        <f>+A752</f>
        <v>FOOD PANEL 1(PEANUT-HAZELNUT-BRAZIL NUT-ALMOND-COCONUT) </v>
      </c>
      <c r="E752" s="139"/>
      <c r="T752" s="139" t="s">
        <v>1235</v>
      </c>
      <c r="U752" s="108" t="s">
        <v>1374</v>
      </c>
      <c r="V752" s="107">
        <v>5.8</v>
      </c>
    </row>
    <row r="753" spans="1:22">
      <c r="A753" s="137" t="s">
        <v>1311</v>
      </c>
      <c r="B753" s="59">
        <f>+B752+1</f>
        <v>745</v>
      </c>
      <c r="C753" s="102">
        <v>17.7</v>
      </c>
      <c r="D753" s="92" t="str">
        <f>+A753</f>
        <v>FOOD PANEL 3(WHEAT-OAT-CORN-SESAME SEED-BUCKWHEAT) </v>
      </c>
      <c r="E753" s="139"/>
      <c r="T753" s="139" t="s">
        <v>1238</v>
      </c>
      <c r="U753" s="108" t="s">
        <v>1375</v>
      </c>
      <c r="V753" s="107">
        <v>10.5</v>
      </c>
    </row>
    <row r="754" spans="1:22">
      <c r="A754" s="137" t="s">
        <v>1314</v>
      </c>
      <c r="B754" s="59">
        <f>+B753+1</f>
        <v>746</v>
      </c>
      <c r="C754" s="102">
        <v>17.7</v>
      </c>
      <c r="D754" s="92" t="str">
        <f>+A754</f>
        <v>FOOD PANEL 5 (EGG WHITE-MILK-WHEAT-PEANUT-SOYABEAN) </v>
      </c>
      <c r="E754" s="139"/>
      <c r="T754" s="139" t="s">
        <v>1376</v>
      </c>
      <c r="U754" s="108" t="s">
        <v>1377</v>
      </c>
      <c r="V754" s="107">
        <v>13.3</v>
      </c>
    </row>
    <row r="755" spans="1:22" ht="24">
      <c r="A755" s="137" t="s">
        <v>1317</v>
      </c>
      <c r="B755" s="59">
        <f>+B754+1</f>
        <v>747</v>
      </c>
      <c r="C755" s="102">
        <v>17.7</v>
      </c>
      <c r="D755" s="92" t="str">
        <f>+A755</f>
        <v>FOOD PANEL2(CODFISH-SHRIMP-BLUE MUSSEL-TUNA-SALMON) </v>
      </c>
      <c r="E755" s="143"/>
      <c r="T755" s="143" t="s">
        <v>1378</v>
      </c>
      <c r="U755" s="108" t="s">
        <v>1379</v>
      </c>
      <c r="V755" s="107">
        <v>17.7</v>
      </c>
    </row>
    <row r="756" spans="1:22">
      <c r="A756" s="137" t="s">
        <v>1380</v>
      </c>
      <c r="B756" s="59">
        <f>+B755+1</f>
        <v>748</v>
      </c>
      <c r="C756" s="102">
        <v>13.3</v>
      </c>
      <c r="D756" s="92" t="str">
        <f>+A756</f>
        <v>OAT</v>
      </c>
      <c r="E756" s="139"/>
      <c r="T756" s="139" t="s">
        <v>1240</v>
      </c>
      <c r="U756" s="108" t="s">
        <v>1381</v>
      </c>
      <c r="V756" s="107">
        <v>15</v>
      </c>
    </row>
    <row r="757" spans="1:22">
      <c r="A757" s="137" t="s">
        <v>1382</v>
      </c>
      <c r="B757" s="59">
        <f>+B756+1</f>
        <v>749</v>
      </c>
      <c r="C757" s="102">
        <v>30</v>
      </c>
      <c r="D757" s="92" t="str">
        <f>+A757</f>
        <v>OVOMUCOID</v>
      </c>
      <c r="E757" s="139"/>
      <c r="T757" s="139" t="s">
        <v>1383</v>
      </c>
      <c r="U757" s="108" t="s">
        <v>1384</v>
      </c>
      <c r="V757" s="107">
        <v>37.8</v>
      </c>
    </row>
    <row r="758" spans="1:22">
      <c r="A758" s="137" t="s">
        <v>1385</v>
      </c>
      <c r="B758" s="59">
        <f>+B757+1</f>
        <v>750</v>
      </c>
      <c r="C758" s="102">
        <v>30</v>
      </c>
      <c r="D758" s="92" t="str">
        <f>+A758</f>
        <v>rArah2</v>
      </c>
      <c r="E758" s="139"/>
      <c r="T758" s="139" t="s">
        <v>1386</v>
      </c>
      <c r="U758" s="108" t="s">
        <v>1387</v>
      </c>
      <c r="V758" s="107">
        <v>37.8</v>
      </c>
    </row>
    <row r="759" spans="1:22">
      <c r="A759" s="137" t="s">
        <v>1388</v>
      </c>
      <c r="B759" s="59">
        <f>+B758+1</f>
        <v>751</v>
      </c>
      <c r="C759" s="102">
        <v>30</v>
      </c>
      <c r="D759" s="92" t="str">
        <f>+A759</f>
        <v>rArah8</v>
      </c>
      <c r="E759" s="139"/>
      <c r="T759" s="139" t="s">
        <v>1389</v>
      </c>
      <c r="U759" s="108" t="s">
        <v>1390</v>
      </c>
      <c r="V759" s="107">
        <v>13.3</v>
      </c>
    </row>
    <row r="760" spans="1:22">
      <c r="A760" s="137" t="s">
        <v>1391</v>
      </c>
      <c r="B760" s="59">
        <f>+B759+1</f>
        <v>752</v>
      </c>
      <c r="C760" s="102">
        <v>30</v>
      </c>
      <c r="D760" s="92" t="str">
        <f>+A760</f>
        <v>rCora8</v>
      </c>
      <c r="E760" s="139"/>
      <c r="T760" s="138" t="s">
        <v>1246</v>
      </c>
      <c r="U760" s="108" t="s">
        <v>1392</v>
      </c>
      <c r="V760" s="107">
        <v>25.8</v>
      </c>
    </row>
    <row r="761" spans="1:22">
      <c r="A761" s="137" t="s">
        <v>1393</v>
      </c>
      <c r="B761" s="59">
        <f>+B760+1</f>
        <v>753</v>
      </c>
      <c r="C761" s="102">
        <v>13.3</v>
      </c>
      <c r="D761" s="92" t="str">
        <f>+A761</f>
        <v>GELOFUSIN</v>
      </c>
      <c r="E761" s="139"/>
      <c r="T761" s="139" t="s">
        <v>1248</v>
      </c>
      <c r="U761" s="108" t="s">
        <v>1394</v>
      </c>
      <c r="V761" s="107">
        <v>12.5</v>
      </c>
    </row>
    <row r="762" spans="1:22">
      <c r="A762" s="137" t="s">
        <v>1329</v>
      </c>
      <c r="B762" s="59">
        <f>+B761+1</f>
        <v>754</v>
      </c>
      <c r="C762" s="102">
        <v>13.3</v>
      </c>
      <c r="D762" s="92" t="str">
        <f>+A762</f>
        <v>GLUTEN </v>
      </c>
      <c r="E762" s="139"/>
      <c r="T762" s="139" t="s">
        <v>1250</v>
      </c>
      <c r="U762" s="108" t="s">
        <v>1395</v>
      </c>
      <c r="V762" s="107">
        <v>20.2</v>
      </c>
    </row>
    <row r="763" spans="1:22">
      <c r="A763" s="137" t="s">
        <v>1335</v>
      </c>
      <c r="B763" s="59">
        <f>+B762+1</f>
        <v>755</v>
      </c>
      <c r="C763" s="102">
        <v>17.7</v>
      </c>
      <c r="D763" s="92" t="str">
        <f>+A763</f>
        <v>GRASS POLLEN MIX</v>
      </c>
      <c r="E763" s="139"/>
      <c r="T763" s="139" t="s">
        <v>1396</v>
      </c>
      <c r="U763" s="108" t="s">
        <v>1397</v>
      </c>
      <c r="V763" s="107">
        <v>13.3</v>
      </c>
    </row>
    <row r="764" spans="1:22">
      <c r="A764" s="137" t="s">
        <v>1340</v>
      </c>
      <c r="B764" s="59">
        <f>+B763+1</f>
        <v>756</v>
      </c>
      <c r="C764" s="102">
        <v>13.3</v>
      </c>
      <c r="D764" s="92" t="str">
        <f>+A764</f>
        <v>HAZELNUT </v>
      </c>
      <c r="E764" s="139"/>
      <c r="T764" s="139" t="s">
        <v>1398</v>
      </c>
      <c r="U764" s="108" t="s">
        <v>1399</v>
      </c>
      <c r="V764" s="107">
        <v>13.3</v>
      </c>
    </row>
    <row r="765" spans="1:22">
      <c r="A765" s="137" t="s">
        <v>1343</v>
      </c>
      <c r="B765" s="59">
        <f>+B764+1</f>
        <v>757</v>
      </c>
      <c r="C765" s="102">
        <v>13.3</v>
      </c>
      <c r="D765" s="92" t="str">
        <f>+A765</f>
        <v>HONEY BEE VENOM </v>
      </c>
      <c r="E765" s="139"/>
      <c r="T765" s="139" t="s">
        <v>1252</v>
      </c>
      <c r="U765" s="108" t="s">
        <v>1400</v>
      </c>
      <c r="V765" s="107">
        <v>11.4</v>
      </c>
    </row>
    <row r="766" spans="1:22">
      <c r="A766" s="137" t="s">
        <v>1346</v>
      </c>
      <c r="B766" s="59">
        <f>+B765+1</f>
        <v>758</v>
      </c>
      <c r="C766" s="102">
        <v>13.3</v>
      </c>
      <c r="D766" s="92" t="str">
        <f>+A766</f>
        <v>HORSE DANDER </v>
      </c>
      <c r="E766" s="139"/>
      <c r="T766" s="139" t="s">
        <v>1401</v>
      </c>
      <c r="U766" s="108" t="s">
        <v>1402</v>
      </c>
      <c r="V766" s="107">
        <v>13.3</v>
      </c>
    </row>
    <row r="767" spans="1:22">
      <c r="A767" s="137" t="s">
        <v>1349</v>
      </c>
      <c r="B767" s="59">
        <f>+B766+1</f>
        <v>759</v>
      </c>
      <c r="C767" s="102">
        <v>13.3</v>
      </c>
      <c r="D767" s="92" t="str">
        <f>+A767</f>
        <v>HOUSE DUST MITE </v>
      </c>
      <c r="E767" s="139"/>
      <c r="T767" s="139" t="s">
        <v>1403</v>
      </c>
      <c r="U767" s="108" t="s">
        <v>1404</v>
      </c>
      <c r="V767" s="107">
        <v>13.3</v>
      </c>
    </row>
    <row r="768" spans="1:22">
      <c r="A768" s="137" t="s">
        <v>1366</v>
      </c>
      <c r="B768" s="59">
        <f>+B767+1</f>
        <v>760</v>
      </c>
      <c r="C768" s="102">
        <v>13.3</v>
      </c>
      <c r="D768" s="92" t="str">
        <f>+A768</f>
        <v>KIWI FRUIT</v>
      </c>
      <c r="E768" s="139"/>
      <c r="T768" s="139" t="s">
        <v>1405</v>
      </c>
      <c r="U768" s="108" t="s">
        <v>1406</v>
      </c>
      <c r="V768" s="107">
        <v>13.3</v>
      </c>
    </row>
    <row r="769" spans="1:22">
      <c r="A769" s="137" t="s">
        <v>1369</v>
      </c>
      <c r="B769" s="59">
        <f>+B768+1</f>
        <v>761</v>
      </c>
      <c r="C769" s="102">
        <v>13.3</v>
      </c>
      <c r="D769" s="92" t="str">
        <f>+A769</f>
        <v>LATEX ALLERGEN</v>
      </c>
      <c r="E769" s="139"/>
      <c r="T769" s="139" t="s">
        <v>1255</v>
      </c>
      <c r="U769" s="108" t="s">
        <v>1407</v>
      </c>
      <c r="V769" s="107">
        <v>20.1</v>
      </c>
    </row>
    <row r="770" spans="1:22">
      <c r="A770" s="137" t="s">
        <v>1372</v>
      </c>
      <c r="B770" s="59">
        <f>+B769+1</f>
        <v>762</v>
      </c>
      <c r="C770" s="102">
        <v>13.3</v>
      </c>
      <c r="D770" s="92" t="str">
        <f>+A770</f>
        <v>LEMON ALLERGEN</v>
      </c>
      <c r="E770" s="139"/>
      <c r="T770" s="139" t="s">
        <v>1258</v>
      </c>
      <c r="U770" s="108" t="s">
        <v>1408</v>
      </c>
      <c r="V770" s="107">
        <v>10.6</v>
      </c>
    </row>
    <row r="771" spans="1:22">
      <c r="A771" s="137" t="s">
        <v>1409</v>
      </c>
      <c r="B771" s="59">
        <f>+B770+1</f>
        <v>763</v>
      </c>
      <c r="C771" s="102">
        <v>30</v>
      </c>
      <c r="D771" s="92" t="str">
        <f>+A771</f>
        <v>LIPID TRANSFER PROTEIN (Pru-P3)</v>
      </c>
      <c r="E771" s="138"/>
      <c r="T771" s="138" t="s">
        <v>1410</v>
      </c>
      <c r="U771" s="108" t="s">
        <v>1411</v>
      </c>
      <c r="V771" s="107">
        <v>17.7</v>
      </c>
    </row>
    <row r="772" spans="1:22">
      <c r="A772" s="137" t="s">
        <v>1376</v>
      </c>
      <c r="B772" s="59">
        <f>+B771+1</f>
        <v>764</v>
      </c>
      <c r="C772" s="102">
        <v>13.3</v>
      </c>
      <c r="D772" s="92" t="str">
        <f>+A772</f>
        <v>MILK </v>
      </c>
      <c r="E772" s="139"/>
      <c r="T772" s="139" t="s">
        <v>1264</v>
      </c>
      <c r="U772" s="108" t="s">
        <v>1412</v>
      </c>
      <c r="V772" s="107">
        <v>15</v>
      </c>
    </row>
    <row r="773" spans="1:22">
      <c r="A773" s="137" t="s">
        <v>1378</v>
      </c>
      <c r="B773" s="59">
        <f>+B772+1</f>
        <v>765</v>
      </c>
      <c r="C773" s="102">
        <v>17.7</v>
      </c>
      <c r="D773" s="92" t="str">
        <f>+A773</f>
        <v>MOLD PANEL 1(PENICILLIUM NOTATUM-CLADOSPORIUM HERBARUM-ASPERGILLUS FUMIGATUS-CANDIDA ALBICANS-ALTERNARIA TENIUS) </v>
      </c>
      <c r="E773" s="139"/>
      <c r="T773" s="139" t="s">
        <v>1271</v>
      </c>
      <c r="U773" s="108" t="s">
        <v>1413</v>
      </c>
      <c r="V773" s="107">
        <v>12.5</v>
      </c>
    </row>
    <row r="774" spans="1:22">
      <c r="A774" s="137" t="s">
        <v>1414</v>
      </c>
      <c r="B774" s="59">
        <f>+B773+1</f>
        <v>766</v>
      </c>
      <c r="C774" s="102">
        <v>30</v>
      </c>
      <c r="D774" s="92" t="str">
        <f>+A774</f>
        <v>MORPHINE (QUATERNARY AMMONIUM)</v>
      </c>
      <c r="E774" s="139"/>
      <c r="T774" s="139" t="s">
        <v>1271</v>
      </c>
      <c r="U774" s="108" t="s">
        <v>1415</v>
      </c>
      <c r="V774" s="107">
        <v>12.5</v>
      </c>
    </row>
    <row r="775" spans="1:22">
      <c r="A775" s="137" t="s">
        <v>1389</v>
      </c>
      <c r="B775" s="59">
        <f>+B774+1</f>
        <v>767</v>
      </c>
      <c r="C775" s="102">
        <v>13.3</v>
      </c>
      <c r="D775" s="92" t="str">
        <f>+A775</f>
        <v>ORANGE</v>
      </c>
      <c r="E775" s="139"/>
      <c r="T775" s="139" t="s">
        <v>1273</v>
      </c>
      <c r="U775" s="108" t="s">
        <v>1416</v>
      </c>
      <c r="V775" s="107">
        <v>12.5</v>
      </c>
    </row>
    <row r="776" spans="1:22">
      <c r="A776" s="137" t="s">
        <v>1417</v>
      </c>
      <c r="B776" s="59">
        <f>+B775+1</f>
        <v>768</v>
      </c>
      <c r="C776" s="102">
        <v>30</v>
      </c>
      <c r="D776" s="92" t="str">
        <f>+A776</f>
        <v>OMEGA-5-GLIADIN</v>
      </c>
      <c r="E776" s="139"/>
      <c r="T776" s="139" t="s">
        <v>1273</v>
      </c>
      <c r="U776" s="108" t="s">
        <v>1418</v>
      </c>
      <c r="V776" s="107">
        <v>12.5</v>
      </c>
    </row>
    <row r="777" spans="1:22">
      <c r="A777" s="137" t="s">
        <v>1398</v>
      </c>
      <c r="B777" s="59">
        <f>+B776+1</f>
        <v>769</v>
      </c>
      <c r="C777" s="102">
        <v>13.3</v>
      </c>
      <c r="D777" s="92" t="str">
        <f>+A777</f>
        <v>PEANUT</v>
      </c>
      <c r="E777" s="138"/>
      <c r="T777" s="138" t="s">
        <v>1419</v>
      </c>
      <c r="U777" s="108" t="s">
        <v>1420</v>
      </c>
      <c r="V777" s="107">
        <v>11.1</v>
      </c>
    </row>
    <row r="778" spans="1:22">
      <c r="A778" s="137" t="s">
        <v>1396</v>
      </c>
      <c r="B778" s="59">
        <f>+B777+1</f>
        <v>770</v>
      </c>
      <c r="C778" s="102">
        <v>13.3</v>
      </c>
      <c r="D778" s="92" t="str">
        <f>+A778</f>
        <v>PECAN NUT</v>
      </c>
      <c r="E778" s="139"/>
      <c r="T778" s="139" t="s">
        <v>1278</v>
      </c>
      <c r="U778" s="108" t="s">
        <v>1421</v>
      </c>
      <c r="V778" s="107">
        <v>3.1</v>
      </c>
    </row>
    <row r="779" spans="1:22">
      <c r="A779" s="137" t="s">
        <v>1401</v>
      </c>
      <c r="B779" s="59">
        <f>+B778+1</f>
        <v>771</v>
      </c>
      <c r="C779" s="102">
        <v>13.3</v>
      </c>
      <c r="D779" s="92" t="str">
        <f>+A779</f>
        <v>PENICILLIN G </v>
      </c>
      <c r="E779" s="139"/>
      <c r="T779" s="139" t="s">
        <v>1280</v>
      </c>
      <c r="U779" s="108" t="s">
        <v>1422</v>
      </c>
      <c r="V779" s="107">
        <v>8.4</v>
      </c>
    </row>
    <row r="780" spans="1:22">
      <c r="A780" s="137" t="s">
        <v>1403</v>
      </c>
      <c r="B780" s="59">
        <f>+B779+1</f>
        <v>772</v>
      </c>
      <c r="C780" s="102">
        <v>13.3</v>
      </c>
      <c r="D780" s="92" t="str">
        <f>+A780</f>
        <v>PENICILLIN V </v>
      </c>
      <c r="E780" s="139"/>
      <c r="T780" s="139" t="s">
        <v>1282</v>
      </c>
      <c r="U780" s="108" t="s">
        <v>1282</v>
      </c>
      <c r="V780" s="107">
        <v>17.4</v>
      </c>
    </row>
    <row r="781" spans="1:22">
      <c r="A781" s="137" t="s">
        <v>1405</v>
      </c>
      <c r="B781" s="59">
        <f>+B780+1</f>
        <v>773</v>
      </c>
      <c r="C781" s="102">
        <v>13.3</v>
      </c>
      <c r="D781" s="92" t="str">
        <f>+A781</f>
        <v>PISTACHIO NUT</v>
      </c>
      <c r="E781" s="139"/>
      <c r="T781" s="139" t="s">
        <v>1290</v>
      </c>
      <c r="U781" s="108" t="s">
        <v>1423</v>
      </c>
      <c r="V781" s="107">
        <v>5.6</v>
      </c>
    </row>
    <row r="782" spans="1:22">
      <c r="A782" s="137" t="s">
        <v>1410</v>
      </c>
      <c r="B782" s="59">
        <f>+B781+1</f>
        <v>774</v>
      </c>
      <c r="C782" s="102">
        <v>17.7</v>
      </c>
      <c r="D782" s="92" t="str">
        <f>+A782</f>
        <v>POULTRY FEATHER MIX(Goose Chicken Duck Turkey)</v>
      </c>
      <c r="E782" s="139"/>
      <c r="T782" s="139" t="s">
        <v>1284</v>
      </c>
      <c r="U782" s="108" t="s">
        <v>1424</v>
      </c>
      <c r="V782" s="107">
        <v>5.6</v>
      </c>
    </row>
    <row r="783" spans="1:22">
      <c r="A783" s="137" t="s">
        <v>1425</v>
      </c>
      <c r="B783" s="59">
        <f>+B782+1</f>
        <v>775</v>
      </c>
      <c r="C783" s="102">
        <v>0</v>
      </c>
      <c r="D783" s="92" t="str">
        <f>+A783</f>
        <v>RAST COMMENT NO COST</v>
      </c>
      <c r="E783" s="139"/>
      <c r="T783" s="139" t="s">
        <v>1287</v>
      </c>
      <c r="U783" s="108" t="s">
        <v>1426</v>
      </c>
      <c r="V783" s="107">
        <v>12.5</v>
      </c>
    </row>
    <row r="784" spans="1:22">
      <c r="A784" s="137" t="s">
        <v>1427</v>
      </c>
      <c r="B784" s="59">
        <f>+B783+1</f>
        <v>776</v>
      </c>
      <c r="C784" s="102">
        <v>13.3</v>
      </c>
      <c r="D784" s="92" t="str">
        <f>+A784</f>
        <v>SALMON</v>
      </c>
      <c r="E784" s="139"/>
      <c r="T784" s="139" t="s">
        <v>1295</v>
      </c>
      <c r="U784" s="108" t="s">
        <v>1428</v>
      </c>
      <c r="V784" s="107">
        <v>5.6</v>
      </c>
    </row>
    <row r="785" spans="1:22">
      <c r="A785" s="137" t="s">
        <v>1429</v>
      </c>
      <c r="B785" s="59">
        <f>+B784+1</f>
        <v>777</v>
      </c>
      <c r="C785" s="102">
        <v>13.3</v>
      </c>
      <c r="D785" s="92" t="str">
        <f>+A785</f>
        <v>SESAME </v>
      </c>
      <c r="E785" s="139"/>
      <c r="T785" s="139" t="s">
        <v>1297</v>
      </c>
      <c r="U785" s="108" t="s">
        <v>1430</v>
      </c>
      <c r="V785" s="107">
        <v>19</v>
      </c>
    </row>
    <row r="786" spans="1:22">
      <c r="A786" s="137" t="s">
        <v>1431</v>
      </c>
      <c r="B786" s="59">
        <f>+B785+1</f>
        <v>778</v>
      </c>
      <c r="C786" s="102">
        <v>13.3</v>
      </c>
      <c r="D786" s="92" t="str">
        <f>+A786</f>
        <v>SHRIMP/PRAWN</v>
      </c>
      <c r="E786" s="139"/>
      <c r="T786" s="139" t="s">
        <v>1299</v>
      </c>
      <c r="U786" s="108" t="s">
        <v>1432</v>
      </c>
      <c r="V786" s="107">
        <v>5.1</v>
      </c>
    </row>
    <row r="787" spans="1:22">
      <c r="A787" s="137" t="s">
        <v>1433</v>
      </c>
      <c r="B787" s="59">
        <f>+B786+1</f>
        <v>779</v>
      </c>
      <c r="C787" s="102">
        <v>13.3</v>
      </c>
      <c r="D787" s="92" t="str">
        <f>+A787</f>
        <v>SOYBEAN </v>
      </c>
      <c r="E787" s="139"/>
      <c r="T787" s="139" t="s">
        <v>1429</v>
      </c>
      <c r="U787" s="108" t="s">
        <v>1434</v>
      </c>
      <c r="V787" s="107">
        <v>13.3</v>
      </c>
    </row>
    <row r="788" spans="1:22">
      <c r="A788" s="137" t="s">
        <v>1435</v>
      </c>
      <c r="B788" s="59">
        <f>+B787+1</f>
        <v>780</v>
      </c>
      <c r="C788" s="102">
        <v>13.3</v>
      </c>
      <c r="D788" s="92" t="str">
        <f>+A788</f>
        <v>STAPH ENTEROTOXIN B (SEB)</v>
      </c>
      <c r="E788" s="139"/>
      <c r="T788" s="139" t="s">
        <v>1301</v>
      </c>
      <c r="U788" s="108" t="s">
        <v>1436</v>
      </c>
      <c r="V788" s="107">
        <v>10.1</v>
      </c>
    </row>
    <row r="789" spans="1:22">
      <c r="A789" s="137" t="s">
        <v>1437</v>
      </c>
      <c r="B789" s="59">
        <f>+B788+1</f>
        <v>781</v>
      </c>
      <c r="C789" s="102">
        <v>13.3</v>
      </c>
      <c r="D789" s="92" t="str">
        <f>+A789</f>
        <v>STRAWBERRY</v>
      </c>
      <c r="E789" s="139"/>
      <c r="T789" s="139" t="s">
        <v>1303</v>
      </c>
      <c r="U789" s="108" t="s">
        <v>1303</v>
      </c>
      <c r="V789" s="107">
        <v>17.4</v>
      </c>
    </row>
    <row r="790" spans="1:22">
      <c r="A790" s="137" t="s">
        <v>1438</v>
      </c>
      <c r="B790" s="59">
        <f>+B789+1</f>
        <v>782</v>
      </c>
      <c r="C790" s="102">
        <v>13.3</v>
      </c>
      <c r="D790" s="92" t="str">
        <f>+A790</f>
        <v>SUXAMETHONIUM</v>
      </c>
      <c r="E790" s="139"/>
      <c r="T790" s="139" t="s">
        <v>1433</v>
      </c>
      <c r="U790" s="108" t="s">
        <v>1439</v>
      </c>
      <c r="V790" s="107">
        <v>13.3</v>
      </c>
    </row>
    <row r="791" spans="1:22">
      <c r="A791" s="137" t="s">
        <v>1440</v>
      </c>
      <c r="B791" s="59">
        <f>+B790+1</f>
        <v>783</v>
      </c>
      <c r="C791" s="102">
        <v>13.3</v>
      </c>
      <c r="D791" s="92" t="str">
        <f>+A791</f>
        <v>TIMOTHY GRASS POLLEN </v>
      </c>
      <c r="E791" s="139"/>
      <c r="T791" s="139" t="s">
        <v>1305</v>
      </c>
      <c r="U791" s="108" t="s">
        <v>1305</v>
      </c>
      <c r="V791" s="107">
        <v>17.4</v>
      </c>
    </row>
    <row r="792" spans="1:22">
      <c r="A792" s="137" t="s">
        <v>1441</v>
      </c>
      <c r="B792" s="59">
        <f>+B791+1</f>
        <v>784</v>
      </c>
      <c r="C792" s="102">
        <v>13.3</v>
      </c>
      <c r="D792" s="92" t="str">
        <f>+A792</f>
        <v>TOMATO</v>
      </c>
      <c r="E792" s="139"/>
      <c r="T792" s="139" t="s">
        <v>1307</v>
      </c>
      <c r="U792" s="108" t="s">
        <v>1307</v>
      </c>
      <c r="V792" s="107">
        <v>17.4</v>
      </c>
    </row>
    <row r="793" spans="1:22">
      <c r="A793" s="137" t="s">
        <v>1442</v>
      </c>
      <c r="B793" s="59">
        <f>+B792+1</f>
        <v>785</v>
      </c>
      <c r="C793" s="102">
        <v>17.7</v>
      </c>
      <c r="D793" s="92" t="str">
        <f>+A793</f>
        <v>TREE PANEL 6 (MAPLE-BOX ELDER-BIRCH-BEECH-OAK-WALNUT) </v>
      </c>
      <c r="E793" s="139"/>
      <c r="T793" s="139" t="s">
        <v>1310</v>
      </c>
      <c r="U793" s="108" t="s">
        <v>1443</v>
      </c>
      <c r="V793" s="107">
        <v>14.6</v>
      </c>
    </row>
    <row r="794" spans="1:22">
      <c r="A794" s="137" t="s">
        <v>1444</v>
      </c>
      <c r="B794" s="59">
        <f>+B793+1</f>
        <v>786</v>
      </c>
      <c r="C794" s="102">
        <v>13.3</v>
      </c>
      <c r="D794" s="92" t="str">
        <f>+A794</f>
        <v>WALNUT</v>
      </c>
      <c r="E794" s="139"/>
      <c r="T794" s="139" t="s">
        <v>1437</v>
      </c>
      <c r="U794" s="108" t="s">
        <v>1445</v>
      </c>
      <c r="V794" s="107">
        <v>13.3</v>
      </c>
    </row>
    <row r="795" spans="1:22">
      <c r="A795" s="137" t="s">
        <v>1446</v>
      </c>
      <c r="B795" s="59">
        <f>+B794+1</f>
        <v>787</v>
      </c>
      <c r="C795" s="102">
        <v>13.3</v>
      </c>
      <c r="D795" s="92" t="str">
        <f>+A795</f>
        <v>WHEAT </v>
      </c>
      <c r="E795" s="139"/>
      <c r="T795" s="139" t="s">
        <v>1313</v>
      </c>
      <c r="U795" s="108" t="s">
        <v>1447</v>
      </c>
      <c r="V795" s="107">
        <v>10.6</v>
      </c>
    </row>
    <row r="796" spans="1:22">
      <c r="A796" s="137" t="s">
        <v>1448</v>
      </c>
      <c r="B796" s="59">
        <f>+B795+1</f>
        <v>788</v>
      </c>
      <c r="C796" s="102">
        <v>13.3</v>
      </c>
      <c r="D796" s="92" t="str">
        <f>+A796</f>
        <v>YELLOW JACKET VENOM (WASP) </v>
      </c>
      <c r="E796" s="139"/>
      <c r="T796" s="139" t="s">
        <v>1316</v>
      </c>
      <c r="U796" s="108" t="s">
        <v>1449</v>
      </c>
      <c r="V796" s="107">
        <v>12.5</v>
      </c>
    </row>
    <row r="797" spans="1:22">
      <c r="A797" s="137" t="s">
        <v>1450</v>
      </c>
      <c r="B797" s="59">
        <f>+B796+1</f>
        <v>789</v>
      </c>
      <c r="C797" s="102">
        <v>1.8</v>
      </c>
      <c r="D797" s="92" t="str">
        <f>+A797</f>
        <v>ABSOLUTE CELL COUNTS</v>
      </c>
      <c r="E797" s="139"/>
      <c r="T797" s="139" t="s">
        <v>1440</v>
      </c>
      <c r="U797" s="108" t="s">
        <v>1451</v>
      </c>
      <c r="V797" s="107">
        <v>13.3</v>
      </c>
    </row>
    <row r="798" spans="1:22">
      <c r="A798" s="137" t="s">
        <v>1452</v>
      </c>
      <c r="B798" s="59">
        <f>+B797+1</f>
        <v>790</v>
      </c>
      <c r="C798" s="102">
        <v>30</v>
      </c>
      <c r="D798" s="92" t="str">
        <f>+A798</f>
        <v>ACUTE MYELOID</v>
      </c>
      <c r="E798" s="139"/>
      <c r="T798" s="139" t="s">
        <v>1319</v>
      </c>
      <c r="U798" s="108" t="s">
        <v>1453</v>
      </c>
      <c r="V798" s="107">
        <v>6.7</v>
      </c>
    </row>
    <row r="799" spans="1:22">
      <c r="A799" s="137" t="s">
        <v>1454</v>
      </c>
      <c r="B799" s="59">
        <f>+B798+1</f>
        <v>791</v>
      </c>
      <c r="C799" s="102">
        <v>66.2</v>
      </c>
      <c r="D799" s="92" t="str">
        <f>+A799</f>
        <v>CD40</v>
      </c>
      <c r="E799" s="139"/>
      <c r="T799" s="139" t="s">
        <v>1441</v>
      </c>
      <c r="U799" s="108" t="s">
        <v>1455</v>
      </c>
      <c r="V799" s="107">
        <v>13.3</v>
      </c>
    </row>
    <row r="800" spans="1:22">
      <c r="A800" s="137" t="s">
        <v>1456</v>
      </c>
      <c r="B800" s="59">
        <f>+B799+1</f>
        <v>792</v>
      </c>
      <c r="C800" s="102">
        <v>71.8</v>
      </c>
      <c r="D800" s="92" t="str">
        <f>+A800</f>
        <v>CD4T</v>
      </c>
      <c r="E800" s="143"/>
      <c r="T800" s="143" t="s">
        <v>1442</v>
      </c>
      <c r="U800" s="141" t="s">
        <v>1457</v>
      </c>
      <c r="V800" s="107">
        <v>17.7</v>
      </c>
    </row>
    <row r="801" spans="1:22">
      <c r="A801" s="137" t="s">
        <v>1458</v>
      </c>
      <c r="B801" s="59">
        <f>+B800+1</f>
        <v>793</v>
      </c>
      <c r="C801" s="102">
        <v>46.6</v>
      </c>
      <c r="D801" s="92" t="str">
        <f>+A801</f>
        <v>COMMON VARIABLE IMMUNODEFFICIENCY SCREEN</v>
      </c>
      <c r="E801" s="139"/>
      <c r="T801" s="139" t="s">
        <v>1324</v>
      </c>
      <c r="U801" s="108" t="s">
        <v>1459</v>
      </c>
      <c r="V801" s="107">
        <v>20</v>
      </c>
    </row>
    <row r="802" spans="1:22">
      <c r="A802" s="137" t="s">
        <v>1460</v>
      </c>
      <c r="B802" s="59">
        <f>+B801+1</f>
        <v>794</v>
      </c>
      <c r="C802" s="102">
        <v>67.6</v>
      </c>
      <c r="D802" s="92" t="str">
        <f>+A802</f>
        <v>IMMUNODEFICIENCY SCREEN NEW PATIENT </v>
      </c>
      <c r="E802" s="139"/>
      <c r="T802" s="139" t="s">
        <v>1326</v>
      </c>
      <c r="U802" s="108" t="s">
        <v>1461</v>
      </c>
      <c r="V802" s="107">
        <v>7.7</v>
      </c>
    </row>
    <row r="803" spans="1:22">
      <c r="A803" s="137" t="s">
        <v>1460</v>
      </c>
      <c r="B803" s="59">
        <f>+B802+1</f>
        <v>795</v>
      </c>
      <c r="C803" s="102">
        <v>67.6</v>
      </c>
      <c r="D803" s="92" t="str">
        <f>+A803</f>
        <v>IMMUNODEFICIENCY SCREEN NEW PATIENT </v>
      </c>
      <c r="E803" s="139"/>
      <c r="T803" s="139" t="s">
        <v>1462</v>
      </c>
      <c r="U803" s="108" t="s">
        <v>1463</v>
      </c>
      <c r="V803" s="107">
        <v>10.5</v>
      </c>
    </row>
    <row r="804" spans="1:22">
      <c r="A804" s="137" t="s">
        <v>1464</v>
      </c>
      <c r="B804" s="59">
        <f>+B803+1</f>
        <v>796</v>
      </c>
      <c r="C804" s="102">
        <v>47.9</v>
      </c>
      <c r="D804" s="92" t="str">
        <f>+A804</f>
        <v>NEUTOPHIL OXIDATIVE BURST </v>
      </c>
      <c r="E804" s="139"/>
      <c r="T804" s="139" t="s">
        <v>1465</v>
      </c>
      <c r="U804" s="108" t="s">
        <v>1466</v>
      </c>
      <c r="V804" s="107">
        <v>20.2</v>
      </c>
    </row>
    <row r="805" spans="1:22">
      <c r="A805" s="137" t="s">
        <v>1464</v>
      </c>
      <c r="B805" s="59">
        <f>+B804+1</f>
        <v>797</v>
      </c>
      <c r="C805" s="102">
        <v>47.9</v>
      </c>
      <c r="D805" s="92" t="str">
        <f>+A805</f>
        <v>NEUTOPHIL OXIDATIVE BURST </v>
      </c>
      <c r="E805" s="139"/>
      <c r="T805" s="139" t="s">
        <v>1467</v>
      </c>
      <c r="U805" s="108" t="s">
        <v>1468</v>
      </c>
      <c r="V805" s="107">
        <v>17.6</v>
      </c>
    </row>
    <row r="806" spans="1:22">
      <c r="A806" s="137" t="s">
        <v>1469</v>
      </c>
      <c r="B806" s="59">
        <f>+B805+1</f>
        <v>798</v>
      </c>
      <c r="C806" s="102">
        <v>7.7</v>
      </c>
      <c r="D806" s="92" t="str">
        <f>+A806</f>
        <v>HLA B27 - inappropriate sample</v>
      </c>
      <c r="E806" s="139"/>
      <c r="T806" s="139" t="s">
        <v>1444</v>
      </c>
      <c r="U806" s="108" t="s">
        <v>1470</v>
      </c>
      <c r="V806" s="107">
        <v>13.3</v>
      </c>
    </row>
    <row r="807" spans="1:22">
      <c r="A807" s="137" t="s">
        <v>1471</v>
      </c>
      <c r="B807" s="59">
        <f>+B806+1</f>
        <v>799</v>
      </c>
      <c r="C807" s="102">
        <v>42.2</v>
      </c>
      <c r="D807" s="92" t="str">
        <f>+A807</f>
        <v>T-CELL ACTIVATION</v>
      </c>
      <c r="E807" s="139"/>
      <c r="T807" s="139" t="s">
        <v>1446</v>
      </c>
      <c r="U807" s="108" t="s">
        <v>1472</v>
      </c>
      <c r="V807" s="107">
        <v>13.3</v>
      </c>
    </row>
    <row r="808" spans="1:22">
      <c r="A808" s="137" t="s">
        <v>1473</v>
      </c>
      <c r="B808" s="59">
        <f>+B807+1</f>
        <v>800</v>
      </c>
      <c r="C808" s="102">
        <v>148.5</v>
      </c>
      <c r="D808" s="92" t="str">
        <f>+A808</f>
        <v>LYMPHOCYTE PROLIFERATION (PHA)</v>
      </c>
      <c r="E808" s="139"/>
      <c r="T808" s="139" t="s">
        <v>1448</v>
      </c>
      <c r="U808" s="108" t="s">
        <v>1474</v>
      </c>
      <c r="V808" s="107">
        <v>13.3</v>
      </c>
    </row>
    <row r="809" spans="1:22">
      <c r="A809" s="137" t="s">
        <v>1475</v>
      </c>
      <c r="B809" s="59">
        <f>+B808+1</f>
        <v>801</v>
      </c>
      <c r="C809" s="102">
        <v>50</v>
      </c>
      <c r="D809" s="92" t="str">
        <f>+A809</f>
        <v>PAROXYMAL NOCTURNAL HAEMAGLOBINUREA SCREEN</v>
      </c>
      <c r="E809" s="139"/>
      <c r="T809" s="139" t="s">
        <v>1450</v>
      </c>
      <c r="U809" s="108" t="s">
        <v>1476</v>
      </c>
      <c r="V809" s="107">
        <v>1.8</v>
      </c>
    </row>
    <row r="810" spans="1:22">
      <c r="A810" s="137" t="s">
        <v>1477</v>
      </c>
      <c r="B810" s="59">
        <f>+B809+1</f>
        <v>802</v>
      </c>
      <c r="C810" s="102">
        <v>100.7</v>
      </c>
      <c r="D810" s="92" t="str">
        <f>+A810</f>
        <v>PRIMARY LEUKAEMIA/LYMPHOMA SCREEN</v>
      </c>
      <c r="E810" s="139"/>
      <c r="T810" s="139" t="s">
        <v>1452</v>
      </c>
      <c r="U810" s="108" t="s">
        <v>1478</v>
      </c>
      <c r="V810" s="107">
        <v>30</v>
      </c>
    </row>
    <row r="811" spans="1:22">
      <c r="A811" s="137" t="s">
        <v>1479</v>
      </c>
      <c r="B811" s="59">
        <f>+B810+1</f>
        <v>803</v>
      </c>
      <c r="C811" s="102">
        <v>113.5</v>
      </c>
      <c r="D811" s="92" t="str">
        <f>+A811</f>
        <v>MONITORING ALL </v>
      </c>
      <c r="E811" s="139"/>
      <c r="T811" s="139" t="s">
        <v>1345</v>
      </c>
      <c r="U811" s="108" t="s">
        <v>1480</v>
      </c>
      <c r="V811" s="107">
        <v>13.3</v>
      </c>
    </row>
    <row r="812" spans="1:22">
      <c r="A812" s="137" t="s">
        <v>1481</v>
      </c>
      <c r="B812" s="59">
        <f>+B811+1</f>
        <v>804</v>
      </c>
      <c r="C812" s="102">
        <v>149.5</v>
      </c>
      <c r="D812" s="92" t="str">
        <f>+A812</f>
        <v>MONITORING AML</v>
      </c>
      <c r="E812" s="139"/>
      <c r="T812" s="139" t="s">
        <v>1348</v>
      </c>
      <c r="U812" s="108" t="s">
        <v>1482</v>
      </c>
      <c r="V812" s="107">
        <v>13.3</v>
      </c>
    </row>
    <row r="813" spans="1:22">
      <c r="A813" s="137" t="s">
        <v>1483</v>
      </c>
      <c r="B813" s="59">
        <f>+B812+1</f>
        <v>805</v>
      </c>
      <c r="C813" s="102">
        <v>91.2</v>
      </c>
      <c r="D813" s="92" t="str">
        <f>+A813</f>
        <v>REDUCED ACUTE LEUKAEMIA SCREEN</v>
      </c>
      <c r="E813" s="139"/>
      <c r="T813" s="139" t="s">
        <v>1380</v>
      </c>
      <c r="U813" s="141" t="s">
        <v>1484</v>
      </c>
      <c r="V813" s="107">
        <v>13.3</v>
      </c>
    </row>
    <row r="814" spans="1:22">
      <c r="A814" s="137" t="s">
        <v>1485</v>
      </c>
      <c r="B814" s="59">
        <f>+B813+1</f>
        <v>806</v>
      </c>
      <c r="C814" s="102">
        <v>101.2</v>
      </c>
      <c r="D814" s="92" t="str">
        <f>+A814</f>
        <v>REDUCED TALL</v>
      </c>
      <c r="E814" s="139"/>
      <c r="T814" s="139" t="s">
        <v>1382</v>
      </c>
      <c r="U814" s="141" t="s">
        <v>1486</v>
      </c>
      <c r="V814" s="107">
        <v>17.7</v>
      </c>
    </row>
    <row r="815" spans="1:22">
      <c r="A815" s="137" t="s">
        <v>1487</v>
      </c>
      <c r="B815" s="59">
        <f>+B814+1</f>
        <v>807</v>
      </c>
      <c r="C815" s="102">
        <v>26.9</v>
      </c>
      <c r="D815" s="92" t="str">
        <f>+A815</f>
        <v>RITUXIMAB THERAPY</v>
      </c>
      <c r="E815" s="139"/>
      <c r="T815" s="139" t="s">
        <v>1385</v>
      </c>
      <c r="U815" s="141" t="s">
        <v>1488</v>
      </c>
      <c r="V815" s="107">
        <v>17.7</v>
      </c>
    </row>
    <row r="816" spans="1:22">
      <c r="A816" s="137" t="s">
        <v>1489</v>
      </c>
      <c r="B816" s="59">
        <f>+B815+1</f>
        <v>808</v>
      </c>
      <c r="C816" s="102">
        <v>172.9</v>
      </c>
      <c r="D816" s="92" t="str">
        <f>+A816</f>
        <v>SECONDARY B CELL LYMPHOMA SCREEN</v>
      </c>
      <c r="E816" s="139"/>
      <c r="T816" s="139" t="s">
        <v>1391</v>
      </c>
      <c r="U816" s="141" t="s">
        <v>1490</v>
      </c>
      <c r="V816" s="107">
        <v>17.7</v>
      </c>
    </row>
    <row r="817" spans="1:22">
      <c r="A817" s="137" t="s">
        <v>1491</v>
      </c>
      <c r="B817" s="59">
        <f>+B816+1</f>
        <v>809</v>
      </c>
      <c r="C817" s="102">
        <v>78.8</v>
      </c>
      <c r="D817" s="92" t="str">
        <f>+A817</f>
        <v>IMMUNE MONITORING</v>
      </c>
      <c r="E817" s="139"/>
      <c r="T817" s="139" t="s">
        <v>1393</v>
      </c>
      <c r="U817" s="108" t="s">
        <v>1492</v>
      </c>
      <c r="V817" s="107">
        <v>13.3</v>
      </c>
    </row>
    <row r="818" spans="1:22">
      <c r="A818" s="137" t="s">
        <v>1493</v>
      </c>
      <c r="B818" s="59">
        <f>+B817+1</f>
        <v>810</v>
      </c>
      <c r="C818" s="102">
        <v>25.3</v>
      </c>
      <c r="D818" s="92" t="str">
        <f>+A818</f>
        <v>TCR ALPHA BETA</v>
      </c>
      <c r="E818" s="139"/>
      <c r="T818" s="139" t="s">
        <v>1427</v>
      </c>
      <c r="U818" s="108" t="s">
        <v>1494</v>
      </c>
      <c r="V818" s="107">
        <v>13.3</v>
      </c>
    </row>
    <row r="819" spans="1:22">
      <c r="A819" s="137" t="s">
        <v>1495</v>
      </c>
      <c r="B819" s="59">
        <f>+B818+1</f>
        <v>811</v>
      </c>
      <c r="C819" s="102">
        <v>25.3</v>
      </c>
      <c r="D819" s="92" t="str">
        <f>+A819</f>
        <v>TCR GAMMA DELTA</v>
      </c>
      <c r="E819" s="139"/>
      <c r="T819" s="139" t="s">
        <v>1454</v>
      </c>
      <c r="U819" s="108" t="s">
        <v>1454</v>
      </c>
      <c r="V819" s="107">
        <v>66.2</v>
      </c>
    </row>
    <row r="820" spans="1:22">
      <c r="A820" s="137" t="s">
        <v>1496</v>
      </c>
      <c r="B820" s="59">
        <f>+B819+1</f>
        <v>812</v>
      </c>
      <c r="C820" s="102">
        <v>72.1</v>
      </c>
      <c r="D820" s="92" t="str">
        <f>+A820</f>
        <v>LYMPHOCYTE SUBSETS</v>
      </c>
      <c r="E820" s="139"/>
      <c r="T820" s="139" t="s">
        <v>1456</v>
      </c>
      <c r="U820" s="144" t="s">
        <v>1456</v>
      </c>
      <c r="V820" s="107">
        <v>71.8</v>
      </c>
    </row>
    <row r="821" spans="1:22">
      <c r="A821" s="137" t="s">
        <v>1497</v>
      </c>
      <c r="B821" s="59">
        <f>+B820+1</f>
        <v>813</v>
      </c>
      <c r="C821" s="102">
        <v>50.5</v>
      </c>
      <c r="D821" s="92" t="str">
        <f>+A821</f>
        <v>T-CELL RECEPTOR</v>
      </c>
      <c r="E821" s="139"/>
      <c r="T821" s="139" t="s">
        <v>1458</v>
      </c>
      <c r="U821" s="108" t="s">
        <v>1498</v>
      </c>
      <c r="V821" s="107">
        <v>46.6</v>
      </c>
    </row>
    <row r="822" spans="1:22">
      <c r="A822" s="137" t="s">
        <v>1499</v>
      </c>
      <c r="B822" s="59">
        <f>+B821+1</f>
        <v>814</v>
      </c>
      <c r="C822" s="102">
        <v>119.3</v>
      </c>
      <c r="D822" s="92" t="str">
        <f>+A822</f>
        <v>SECONDARY T SCREEN</v>
      </c>
      <c r="E822" s="139"/>
      <c r="T822" s="139" t="s">
        <v>1500</v>
      </c>
      <c r="U822" s="108" t="s">
        <v>1501</v>
      </c>
      <c r="V822" s="107">
        <v>30</v>
      </c>
    </row>
    <row r="823" spans="1:22">
      <c r="A823" s="137" t="s">
        <v>1502</v>
      </c>
      <c r="B823" s="59">
        <f>+B822+1</f>
        <v>815</v>
      </c>
      <c r="C823" s="102">
        <v>9.1</v>
      </c>
      <c r="D823" s="92" t="str">
        <f>+A823</f>
        <v>TDT</v>
      </c>
      <c r="E823" s="139"/>
      <c r="T823" s="139" t="s">
        <v>1460</v>
      </c>
      <c r="U823" s="108" t="s">
        <v>1503</v>
      </c>
      <c r="V823" s="107">
        <v>67.6</v>
      </c>
    </row>
    <row r="824" spans="1:22">
      <c r="A824" s="137" t="s">
        <v>1504</v>
      </c>
      <c r="B824" s="59">
        <f>+B823+1</f>
        <v>816</v>
      </c>
      <c r="C824" s="102">
        <v>27.6</v>
      </c>
      <c r="D824" s="92" t="str">
        <f>+A824</f>
        <v>T-CELL MEMORY SUBSETS</v>
      </c>
      <c r="E824" s="139"/>
      <c r="T824" s="139" t="s">
        <v>1464</v>
      </c>
      <c r="U824" s="108" t="s">
        <v>1505</v>
      </c>
      <c r="V824" s="107">
        <v>47.9</v>
      </c>
    </row>
    <row r="825" spans="1:22">
      <c r="A825" s="137" t="s">
        <v>1500</v>
      </c>
      <c r="B825" s="59">
        <f>+B824+1</f>
        <v>817</v>
      </c>
      <c r="C825" s="102">
        <v>33.6</v>
      </c>
      <c r="D825" s="92" t="str">
        <f>+A825</f>
        <v>HAIRY CELL LEUKAEMIA </v>
      </c>
      <c r="E825" s="139"/>
      <c r="T825" s="139" t="s">
        <v>1506</v>
      </c>
      <c r="U825" s="108" t="s">
        <v>1507</v>
      </c>
      <c r="V825" s="107">
        <v>48.5</v>
      </c>
    </row>
    <row r="826" spans="1:22">
      <c r="A826" s="137" t="s">
        <v>1506</v>
      </c>
      <c r="B826" s="59">
        <f>+B825+1</f>
        <v>818</v>
      </c>
      <c r="C826" s="102">
        <v>40</v>
      </c>
      <c r="D826" s="92" t="str">
        <f>+A826</f>
        <v>HLA B27 </v>
      </c>
      <c r="E826" s="139"/>
      <c r="T826" s="139" t="s">
        <v>1469</v>
      </c>
      <c r="U826" s="108" t="s">
        <v>1508</v>
      </c>
      <c r="V826" s="107">
        <v>7.7</v>
      </c>
    </row>
    <row r="827" spans="1:22">
      <c r="A827" s="137" t="s">
        <v>1509</v>
      </c>
      <c r="B827" s="59">
        <f>+B826+1</f>
        <v>819</v>
      </c>
      <c r="C827" s="102">
        <v>25</v>
      </c>
      <c r="D827" s="92" t="str">
        <f>+A827</f>
        <v>LEUKAEMIA SCREEN/ MONITORING PANEL-1</v>
      </c>
      <c r="E827" s="139"/>
      <c r="T827" s="139" t="s">
        <v>1471</v>
      </c>
      <c r="U827" s="108" t="s">
        <v>1510</v>
      </c>
      <c r="V827" s="107">
        <v>42.2</v>
      </c>
    </row>
    <row r="828" spans="1:22">
      <c r="A828" s="137" t="s">
        <v>1511</v>
      </c>
      <c r="B828" s="59">
        <f>+B827+1</f>
        <v>820</v>
      </c>
      <c r="C828" s="102">
        <v>25</v>
      </c>
      <c r="D828" s="92" t="str">
        <f>+A828</f>
        <v>LEUKAEMIA SCREEN/ MONITORING PANEL-10</v>
      </c>
      <c r="E828" s="139"/>
      <c r="T828" s="139" t="s">
        <v>1473</v>
      </c>
      <c r="U828" s="108" t="s">
        <v>1512</v>
      </c>
      <c r="V828" s="107">
        <v>148.5</v>
      </c>
    </row>
    <row r="829" spans="1:22">
      <c r="A829" s="137" t="s">
        <v>1513</v>
      </c>
      <c r="B829" s="59">
        <f>+B828+1</f>
        <v>821</v>
      </c>
      <c r="C829" s="102">
        <v>25</v>
      </c>
      <c r="D829" s="92" t="str">
        <f>+A829</f>
        <v>LEUKAEMIA SCREEN/ MONITORING PANEL-2</v>
      </c>
      <c r="E829" s="139"/>
      <c r="T829" s="139" t="s">
        <v>1475</v>
      </c>
      <c r="U829" s="108" t="s">
        <v>1514</v>
      </c>
      <c r="V829" s="107">
        <v>39</v>
      </c>
    </row>
    <row r="830" spans="1:22">
      <c r="A830" s="137" t="s">
        <v>1515</v>
      </c>
      <c r="B830" s="59">
        <f>+B829+1</f>
        <v>822</v>
      </c>
      <c r="C830" s="102">
        <v>25</v>
      </c>
      <c r="D830" s="92" t="str">
        <f>+A830</f>
        <v>LEUKAEMIA SCREEN/ MONITORING PANEL-3</v>
      </c>
      <c r="E830" s="139"/>
      <c r="T830" s="139" t="s">
        <v>1516</v>
      </c>
      <c r="U830" s="108" t="s">
        <v>1517</v>
      </c>
      <c r="V830" s="107">
        <v>100.7</v>
      </c>
    </row>
    <row r="831" spans="1:22">
      <c r="A831" s="137" t="s">
        <v>1518</v>
      </c>
      <c r="B831" s="59">
        <f>+B830+1</f>
        <v>823</v>
      </c>
      <c r="C831" s="102">
        <v>25</v>
      </c>
      <c r="D831" s="92" t="str">
        <f>+A831</f>
        <v>LEUKAEMIA SCREEN/ MONITORING PANEL-4</v>
      </c>
      <c r="E831" s="139"/>
      <c r="T831" s="139"/>
      <c r="U831" s="108"/>
      <c r="V831" s="107"/>
    </row>
    <row r="832" spans="1:22">
      <c r="A832" s="137" t="s">
        <v>1519</v>
      </c>
      <c r="B832" s="59">
        <f>+B831+1</f>
        <v>824</v>
      </c>
      <c r="C832" s="102">
        <v>25</v>
      </c>
      <c r="D832" s="92" t="str">
        <f>+A832</f>
        <v>LEUKAEMIA SCREEN/ MONITORING PANEL-5</v>
      </c>
      <c r="E832" s="139"/>
      <c r="T832" s="139"/>
      <c r="U832" s="108"/>
      <c r="V832" s="107"/>
    </row>
    <row r="833" spans="1:22">
      <c r="A833" s="137" t="s">
        <v>1520</v>
      </c>
      <c r="B833" s="59">
        <f>+B832+1</f>
        <v>825</v>
      </c>
      <c r="C833" s="102">
        <v>25</v>
      </c>
      <c r="D833" s="92" t="str">
        <f>+A833</f>
        <v>LEUKAEMIA SCREEN/ MONITORING PANEL-6</v>
      </c>
      <c r="E833" s="139"/>
      <c r="T833" s="139"/>
      <c r="U833" s="108"/>
      <c r="V833" s="107"/>
    </row>
    <row r="834" spans="1:22">
      <c r="A834" s="137" t="s">
        <v>1521</v>
      </c>
      <c r="B834" s="59">
        <f>+B833+1</f>
        <v>826</v>
      </c>
      <c r="C834" s="102">
        <v>25</v>
      </c>
      <c r="D834" s="92" t="str">
        <f>+A834</f>
        <v>LEUKAEMIA SCREEN/ MONITORING PANEL-7</v>
      </c>
      <c r="E834" s="139"/>
      <c r="T834" s="139"/>
      <c r="U834" s="108"/>
      <c r="V834" s="107"/>
    </row>
    <row r="835" spans="1:22">
      <c r="A835" s="137" t="s">
        <v>1522</v>
      </c>
      <c r="B835" s="59">
        <f>+B834+1</f>
        <v>827</v>
      </c>
      <c r="C835" s="102">
        <v>25</v>
      </c>
      <c r="D835" s="92" t="str">
        <f>+A835</f>
        <v>LEUKAEMIA SCREEN/ MONITORING PANEL-8</v>
      </c>
      <c r="E835" s="139"/>
      <c r="T835" s="139"/>
      <c r="U835" s="108"/>
      <c r="V835" s="107"/>
    </row>
    <row r="836" spans="1:22">
      <c r="A836" s="137" t="s">
        <v>1523</v>
      </c>
      <c r="B836" s="59">
        <f>+B835+1</f>
        <v>828</v>
      </c>
      <c r="C836" s="102">
        <v>25</v>
      </c>
      <c r="D836" s="92" t="str">
        <f>+A836</f>
        <v>LEUKAEMIA SCREEN/ MONITORING PANEL-9</v>
      </c>
      <c r="E836" s="139"/>
      <c r="T836" s="139"/>
      <c r="U836" s="108"/>
      <c r="V836" s="107"/>
    </row>
    <row r="837" spans="1:22">
      <c r="A837" s="137" t="s">
        <v>1496</v>
      </c>
      <c r="B837" s="59">
        <f>+B836+1</f>
        <v>829</v>
      </c>
      <c r="C837" s="102">
        <v>39.4</v>
      </c>
      <c r="D837" s="92" t="str">
        <f>+A837</f>
        <v>LYMPHOCYTE SUBSETS</v>
      </c>
      <c r="E837" s="139"/>
      <c r="T837" s="139"/>
      <c r="U837" s="108"/>
      <c r="V837" s="107"/>
    </row>
    <row r="838" spans="1:22">
      <c r="A838" s="137" t="s">
        <v>1524</v>
      </c>
      <c r="B838" s="59">
        <f>+B837+1</f>
        <v>830</v>
      </c>
      <c r="C838" s="102">
        <v>33.6</v>
      </c>
      <c r="D838" s="92" t="str">
        <f>+A838</f>
        <v>MATURE B CELLMARKERS PANEL1</v>
      </c>
      <c r="E838" s="139"/>
      <c r="T838" s="139"/>
      <c r="U838" s="108"/>
      <c r="V838" s="107"/>
    </row>
    <row r="839" spans="1:22">
      <c r="A839" s="137" t="s">
        <v>1525</v>
      </c>
      <c r="B839" s="59">
        <f>+B838+1</f>
        <v>831</v>
      </c>
      <c r="C839" s="102">
        <v>33.6</v>
      </c>
      <c r="D839" s="92" t="str">
        <f>+A839</f>
        <v>MATURE B CELLMARKERS PANEL2</v>
      </c>
      <c r="E839" s="139"/>
      <c r="T839" s="139"/>
      <c r="U839" s="108"/>
      <c r="V839" s="107"/>
    </row>
    <row r="840" spans="1:22">
      <c r="A840" s="137" t="s">
        <v>1526</v>
      </c>
      <c r="B840" s="59">
        <f>+B839+1</f>
        <v>832</v>
      </c>
      <c r="C840" s="102">
        <v>46.6</v>
      </c>
      <c r="D840" s="92" t="str">
        <f>+A840</f>
        <v>MEMORY B CELLS SUBSETS</v>
      </c>
      <c r="E840" s="138"/>
      <c r="T840" s="139" t="s">
        <v>1479</v>
      </c>
      <c r="U840" s="108" t="s">
        <v>1527</v>
      </c>
      <c r="V840" s="107">
        <v>113.5</v>
      </c>
    </row>
    <row r="841" spans="1:22">
      <c r="A841" s="137" t="s">
        <v>1528</v>
      </c>
      <c r="B841" s="59">
        <f>+B840+1</f>
        <v>833</v>
      </c>
      <c r="C841" s="102">
        <v>33.6</v>
      </c>
      <c r="D841" s="92" t="str">
        <f>+A841</f>
        <v>MEMORY T-CELL  SUBSETS</v>
      </c>
      <c r="E841" s="139"/>
      <c r="T841" s="139" t="s">
        <v>1481</v>
      </c>
      <c r="U841" s="108" t="s">
        <v>1529</v>
      </c>
      <c r="V841" s="107">
        <v>149.5</v>
      </c>
    </row>
    <row r="842" spans="1:22">
      <c r="A842" s="137" t="s">
        <v>1530</v>
      </c>
      <c r="B842" s="59">
        <f>+B841+1</f>
        <v>834</v>
      </c>
      <c r="C842" s="102">
        <v>50</v>
      </c>
      <c r="D842" s="92" t="str">
        <f>+A842</f>
        <v>MYELOPROLIFERATIVE MDS SCREEN</v>
      </c>
      <c r="E842" s="139"/>
      <c r="T842" s="139" t="s">
        <v>1531</v>
      </c>
      <c r="U842" s="108" t="s">
        <v>1532</v>
      </c>
      <c r="V842" s="107">
        <v>91.2</v>
      </c>
    </row>
    <row r="843" spans="1:22">
      <c r="A843" s="137" t="s">
        <v>1533</v>
      </c>
      <c r="B843" s="59">
        <f>+B842+1</f>
        <v>835</v>
      </c>
      <c r="C843" s="102">
        <v>33.6</v>
      </c>
      <c r="D843" s="92" t="str">
        <f>+A843</f>
        <v>MYELOMA SCREEN/MONITORING</v>
      </c>
      <c r="E843" s="139"/>
      <c r="T843" s="139" t="s">
        <v>1485</v>
      </c>
      <c r="U843" s="108" t="s">
        <v>1534</v>
      </c>
      <c r="V843" s="107">
        <v>101.2</v>
      </c>
    </row>
    <row r="844" spans="1:22">
      <c r="A844" s="137" t="s">
        <v>1535</v>
      </c>
      <c r="B844" s="59">
        <f>+B843+1</f>
        <v>836</v>
      </c>
      <c r="C844" s="102">
        <v>33.6</v>
      </c>
      <c r="D844" s="92" t="str">
        <f>+A844</f>
        <v>NK-NKT CELL SUBSETS</v>
      </c>
      <c r="E844" s="139"/>
      <c r="T844" s="139" t="s">
        <v>1487</v>
      </c>
      <c r="U844" s="108" t="s">
        <v>1536</v>
      </c>
      <c r="V844" s="107">
        <v>26.9</v>
      </c>
    </row>
    <row r="845" spans="1:22">
      <c r="A845" s="137" t="s">
        <v>1537</v>
      </c>
      <c r="B845" s="59">
        <f>+B844+1</f>
        <v>837</v>
      </c>
      <c r="C845" s="102">
        <v>33.6</v>
      </c>
      <c r="D845" s="92" t="str">
        <f>+A845</f>
        <v>PRIMARY B CELL CLONALITY</v>
      </c>
      <c r="E845" s="139"/>
      <c r="T845" s="139" t="s">
        <v>1538</v>
      </c>
      <c r="U845" s="108" t="s">
        <v>1539</v>
      </c>
      <c r="V845" s="107">
        <v>172.9</v>
      </c>
    </row>
    <row r="846" spans="1:22">
      <c r="A846" s="137" t="s">
        <v>1540</v>
      </c>
      <c r="B846" s="59">
        <f>+B845+1</f>
        <v>838</v>
      </c>
      <c r="C846" s="102">
        <v>33.6</v>
      </c>
      <c r="D846" s="92" t="str">
        <f>+A846</f>
        <v>PRIMARY LYMPHOCYTE SUBSETS</v>
      </c>
      <c r="E846" s="139"/>
      <c r="T846" s="139" t="s">
        <v>1491</v>
      </c>
      <c r="U846" s="108" t="s">
        <v>1541</v>
      </c>
      <c r="V846" s="107">
        <v>78.8</v>
      </c>
    </row>
    <row r="847" spans="1:22">
      <c r="A847" s="137" t="s">
        <v>1542</v>
      </c>
      <c r="B847" s="59">
        <f>+B846+1</f>
        <v>839</v>
      </c>
      <c r="C847" s="102">
        <v>33.6</v>
      </c>
      <c r="D847" s="92" t="str">
        <f>+A847</f>
        <v>PRIMARY T CELL SUBSETS</v>
      </c>
      <c r="E847" s="139"/>
      <c r="T847" s="139" t="s">
        <v>1493</v>
      </c>
      <c r="U847" s="108" t="s">
        <v>1543</v>
      </c>
      <c r="V847" s="107">
        <v>25.3</v>
      </c>
    </row>
    <row r="848" spans="1:22">
      <c r="A848" s="137" t="s">
        <v>1544</v>
      </c>
      <c r="B848" s="59">
        <f>+B847+1</f>
        <v>840</v>
      </c>
      <c r="C848" s="102">
        <v>33.6</v>
      </c>
      <c r="D848" s="92" t="str">
        <f>+A848</f>
        <v>SECONDARY B CELL MATURATION MARKERS</v>
      </c>
      <c r="E848" s="138"/>
      <c r="T848" s="139" t="s">
        <v>1495</v>
      </c>
      <c r="U848" s="108" t="s">
        <v>1545</v>
      </c>
      <c r="V848" s="107">
        <v>25.3</v>
      </c>
    </row>
    <row r="849" spans="1:22">
      <c r="A849" s="137" t="s">
        <v>1499</v>
      </c>
      <c r="B849" s="59">
        <f>+B848+1</f>
        <v>841</v>
      </c>
      <c r="C849" s="102">
        <v>39.4</v>
      </c>
      <c r="D849" s="92" t="str">
        <f>+A849</f>
        <v>SECONDARY T SCREEN</v>
      </c>
      <c r="E849" s="139"/>
      <c r="T849" s="139" t="s">
        <v>1496</v>
      </c>
      <c r="U849" s="108" t="s">
        <v>1541</v>
      </c>
      <c r="V849" s="107">
        <v>72.1</v>
      </c>
    </row>
    <row r="850" spans="1:22">
      <c r="A850" s="137" t="s">
        <v>1546</v>
      </c>
      <c r="B850" s="59">
        <f>+B849+1</f>
        <v>842</v>
      </c>
      <c r="C850" s="102">
        <v>39.4</v>
      </c>
      <c r="D850" s="92" t="str">
        <f>+A850</f>
        <v>T CELL SUBSETS</v>
      </c>
      <c r="E850" s="139"/>
      <c r="T850" s="139" t="s">
        <v>1497</v>
      </c>
      <c r="U850" s="108" t="s">
        <v>1547</v>
      </c>
      <c r="V850" s="107">
        <v>50.5</v>
      </c>
    </row>
    <row r="851" spans="1:22">
      <c r="A851" s="137" t="s">
        <v>1548</v>
      </c>
      <c r="B851" s="59">
        <f>+B850+1</f>
        <v>843</v>
      </c>
      <c r="C851" s="102">
        <v>78.8</v>
      </c>
      <c r="D851" s="92" t="str">
        <f>+A851</f>
        <v>TBNK CELL MARKERS</v>
      </c>
      <c r="E851" s="139"/>
      <c r="T851" s="139" t="s">
        <v>1499</v>
      </c>
      <c r="U851" s="108" t="s">
        <v>1549</v>
      </c>
      <c r="V851" s="107">
        <v>119.3</v>
      </c>
    </row>
    <row r="852" spans="1:22">
      <c r="A852" s="137" t="s">
        <v>1548</v>
      </c>
      <c r="B852" s="59">
        <f>+B851+1</f>
        <v>844</v>
      </c>
      <c r="C852" s="102">
        <v>78.8</v>
      </c>
      <c r="D852" s="92" t="str">
        <f>+A852</f>
        <v>TBNK CELL MARKERS</v>
      </c>
      <c r="E852" s="139"/>
      <c r="T852" s="139" t="s">
        <v>1502</v>
      </c>
      <c r="U852" s="108" t="s">
        <v>1502</v>
      </c>
      <c r="V852" s="107">
        <v>9.1</v>
      </c>
    </row>
    <row r="853" spans="1:22">
      <c r="A853" s="137" t="s">
        <v>1471</v>
      </c>
      <c r="B853" s="59">
        <f>+B852+1</f>
        <v>845</v>
      </c>
      <c r="C853" s="102">
        <v>39.4</v>
      </c>
      <c r="D853" s="92" t="str">
        <f>+A853</f>
        <v>T-CELL ACTIVATION</v>
      </c>
      <c r="E853" s="139"/>
      <c r="T853" s="139" t="s">
        <v>1546</v>
      </c>
      <c r="U853" s="145"/>
      <c r="V853" s="107">
        <v>67.6</v>
      </c>
    </row>
    <row r="854" spans="1:22">
      <c r="A854" s="137" t="s">
        <v>1497</v>
      </c>
      <c r="B854" s="59">
        <f>+B853+1</f>
        <v>846</v>
      </c>
      <c r="C854" s="102">
        <v>50.5</v>
      </c>
      <c r="D854" s="92" t="str">
        <f>+A854</f>
        <v>T-CELL RECEPTOR</v>
      </c>
      <c r="E854" s="139"/>
      <c r="T854" s="139" t="s">
        <v>1504</v>
      </c>
      <c r="U854" s="108" t="s">
        <v>1550</v>
      </c>
      <c r="V854" s="107">
        <v>27.6</v>
      </c>
    </row>
    <row r="855" spans="1:22" ht="13">
      <c r="A855" s="146" t="s">
        <v>1551</v>
      </c>
      <c r="B855" s="59">
        <f>+B854+1</f>
        <v>847</v>
      </c>
      <c r="C855" s="102">
        <f>+V855</f>
        <v>0</v>
      </c>
      <c r="D855" s="92" t="str">
        <f>+A855</f>
        <v>MOLECULAR BIOLOGY</v>
      </c>
      <c r="E855" s="147"/>
      <c r="T855" s="146"/>
      <c r="U855" s="108"/>
      <c r="V855" s="107"/>
    </row>
    <row r="856" spans="1:22" ht="13">
      <c r="A856" s="148" t="s">
        <v>1552</v>
      </c>
      <c r="B856" s="59">
        <f>+B855+1</f>
        <v>848</v>
      </c>
      <c r="C856" s="102">
        <v>279.5</v>
      </c>
      <c r="D856" s="92" t="str">
        <f>+A856</f>
        <v>IMMUNODEFIC. CASES (INCL. PCR1 &amp; TCRD)</v>
      </c>
      <c r="E856" s="147"/>
      <c r="T856" s="146"/>
      <c r="U856" s="108"/>
      <c r="V856" s="107"/>
    </row>
    <row r="857" spans="1:22" ht="13">
      <c r="A857" s="148" t="s">
        <v>1553</v>
      </c>
      <c r="B857" s="59">
        <f>+B856+1</f>
        <v>849</v>
      </c>
      <c r="C857" s="102">
        <v>42.9</v>
      </c>
      <c r="D857" s="92" t="str">
        <f>+A857</f>
        <v>LIGHT CHAIN REARRANGEMENTS</v>
      </c>
      <c r="E857" s="147"/>
      <c r="T857" s="146"/>
      <c r="U857" s="108"/>
      <c r="V857" s="107"/>
    </row>
    <row r="858" spans="1:22" ht="13">
      <c r="A858" s="148" t="s">
        <v>1554</v>
      </c>
      <c r="B858" s="59">
        <f>+B857+1</f>
        <v>850</v>
      </c>
      <c r="C858" s="102">
        <v>27.6</v>
      </c>
      <c r="D858" s="92" t="str">
        <f>+A858</f>
        <v>IgGHD-J GENER REARRANGEMENTS</v>
      </c>
      <c r="E858" s="147"/>
      <c r="T858" s="146"/>
      <c r="U858" s="108"/>
      <c r="V858" s="107"/>
    </row>
    <row r="859" spans="1:22" ht="13">
      <c r="A859" s="149" t="s">
        <v>1555</v>
      </c>
      <c r="B859" s="59">
        <f>+B858+1</f>
        <v>851</v>
      </c>
      <c r="C859" s="102">
        <v>66.7</v>
      </c>
      <c r="D859" s="92" t="str">
        <f>+A859</f>
        <v>IGH</v>
      </c>
      <c r="E859" s="147"/>
      <c r="T859" s="146"/>
      <c r="U859" s="108"/>
      <c r="V859" s="107"/>
    </row>
    <row r="860" spans="1:22" ht="13">
      <c r="A860" s="148" t="s">
        <v>1556</v>
      </c>
      <c r="B860" s="59">
        <f>+B859+1</f>
        <v>852</v>
      </c>
      <c r="C860" s="102">
        <v>225.9</v>
      </c>
      <c r="D860" s="92" t="str">
        <f>+A860</f>
        <v>PARAFFIN PCR INCL. PCR1 &amp; MW MARKER</v>
      </c>
      <c r="E860" s="147"/>
      <c r="T860" s="146"/>
      <c r="U860" s="108"/>
      <c r="V860" s="107"/>
    </row>
    <row r="861" spans="1:22" ht="13">
      <c r="A861" s="148" t="s">
        <v>1557</v>
      </c>
      <c r="B861" s="59">
        <f>+B860+1</f>
        <v>853</v>
      </c>
      <c r="C861" s="102">
        <v>268.7</v>
      </c>
      <c r="D861" s="92" t="str">
        <f>+A861</f>
        <v>PARAFFIN PCR INCL. PCR1- MW &amp; IgL (suspected B cell disease)</v>
      </c>
      <c r="E861" s="147"/>
      <c r="T861" s="146"/>
      <c r="U861" s="108"/>
      <c r="V861" s="107"/>
    </row>
    <row r="862" spans="1:22" ht="13">
      <c r="A862" s="148" t="s">
        <v>1558</v>
      </c>
      <c r="B862" s="59">
        <f>+B861+1</f>
        <v>854</v>
      </c>
      <c r="C862" s="102">
        <v>225.9</v>
      </c>
      <c r="D862" s="92" t="str">
        <f>+A862</f>
        <v>PCR STANDARD REQUEST FOR ALL TCRS &amp; IgH</v>
      </c>
      <c r="E862" s="147"/>
      <c r="T862" s="146"/>
      <c r="U862" s="108"/>
      <c r="V862" s="107"/>
    </row>
    <row r="863" spans="1:22" ht="13">
      <c r="A863" s="148" t="s">
        <v>1559</v>
      </c>
      <c r="B863" s="59">
        <f>+B862+1</f>
        <v>855</v>
      </c>
      <c r="C863" s="102">
        <v>232.7</v>
      </c>
      <c r="D863" s="92" t="str">
        <f>+A863</f>
        <v>PCR (IGH-TCR BETA GAMMA)</v>
      </c>
      <c r="E863" s="147"/>
      <c r="T863" s="146"/>
      <c r="U863" s="108"/>
      <c r="V863" s="107"/>
    </row>
    <row r="864" spans="1:22" ht="13">
      <c r="A864" s="148" t="s">
        <v>1560</v>
      </c>
      <c r="B864" s="59">
        <f>+B863+1</f>
        <v>856</v>
      </c>
      <c r="C864" s="102">
        <v>268.7</v>
      </c>
      <c r="D864" s="92" t="str">
        <f>+A864</f>
        <v>PCR FRESH SAMPLES B CELL SUSPECTED (INCL. PCR1 &amp; IgL)</v>
      </c>
      <c r="E864" s="147"/>
      <c r="T864" s="146"/>
      <c r="U864" s="108"/>
      <c r="V864" s="107"/>
    </row>
    <row r="865" spans="1:22" ht="13">
      <c r="A865" s="148" t="s">
        <v>1561</v>
      </c>
      <c r="B865" s="59">
        <f>+B864+1</f>
        <v>857</v>
      </c>
      <c r="C865" s="102">
        <v>7.7</v>
      </c>
      <c r="D865" s="92" t="str">
        <f>+A865</f>
        <v>PCR HANDLING CHARGE</v>
      </c>
      <c r="E865" s="147"/>
      <c r="T865" s="146"/>
      <c r="U865" s="108"/>
      <c r="V865" s="107"/>
    </row>
    <row r="866" spans="1:22" ht="13">
      <c r="A866" s="148" t="s">
        <v>1562</v>
      </c>
      <c r="B866" s="59">
        <f>+B865+1</f>
        <v>858</v>
      </c>
      <c r="C866" s="102">
        <v>151</v>
      </c>
      <c r="D866" s="92" t="str">
        <f>+A866</f>
        <v>REQUEST FOR TCR ONLY</v>
      </c>
      <c r="E866" s="147"/>
      <c r="T866" s="146"/>
      <c r="U866" s="108"/>
      <c r="V866" s="107"/>
    </row>
    <row r="867" spans="1:22" ht="13">
      <c r="A867" s="148" t="s">
        <v>1563</v>
      </c>
      <c r="B867" s="59">
        <f>+B866+1</f>
        <v>859</v>
      </c>
      <c r="C867" s="102">
        <v>316</v>
      </c>
      <c r="D867" s="92" t="str">
        <f>+A867</f>
        <v>TCRVB SPECTRATYPING</v>
      </c>
      <c r="E867" s="147"/>
      <c r="T867" s="146"/>
      <c r="U867" s="108"/>
      <c r="V867" s="107"/>
    </row>
    <row r="868" spans="1:22" ht="13">
      <c r="A868" s="148" t="s">
        <v>1564</v>
      </c>
      <c r="B868" s="59">
        <f>+B867+1</f>
        <v>860</v>
      </c>
      <c r="C868" s="102">
        <v>155.6</v>
      </c>
      <c r="D868" s="92" t="str">
        <f>+A868</f>
        <v>TCR(BETA GAMMA)</v>
      </c>
      <c r="E868" s="147"/>
      <c r="T868" s="146"/>
      <c r="U868" s="108"/>
      <c r="V868" s="107"/>
    </row>
    <row r="869" spans="1:22" ht="13">
      <c r="A869" s="148" t="s">
        <v>1565</v>
      </c>
      <c r="B869" s="59">
        <f>+B868+1</f>
        <v>861</v>
      </c>
      <c r="C869" s="102">
        <v>11.4</v>
      </c>
      <c r="D869" s="92" t="str">
        <f>+A869</f>
        <v>TCR DELTA</v>
      </c>
      <c r="E869" s="147"/>
      <c r="T869" s="146"/>
      <c r="U869" s="108"/>
      <c r="V869" s="107"/>
    </row>
    <row r="870" spans="1:22" ht="13">
      <c r="A870" s="148" t="s">
        <v>1566</v>
      </c>
      <c r="B870" s="59">
        <f>+B869+1</f>
        <v>862</v>
      </c>
      <c r="C870" s="102">
        <v>47.8</v>
      </c>
      <c r="D870" s="92" t="str">
        <f>+A870</f>
        <v>TCRG</v>
      </c>
      <c r="E870" s="147"/>
      <c r="T870" s="146"/>
      <c r="U870" s="108"/>
      <c r="V870" s="107"/>
    </row>
    <row r="871" spans="1:22" ht="13">
      <c r="A871" s="148" t="s">
        <v>1567</v>
      </c>
      <c r="B871" s="59">
        <f>+B870+1</f>
        <v>863</v>
      </c>
      <c r="C871" s="102">
        <v>75.8</v>
      </c>
      <c r="D871" s="92" t="str">
        <f>+A871</f>
        <v>T(11:14) TRANSLOCATION</v>
      </c>
      <c r="E871" s="147"/>
      <c r="T871" s="146"/>
      <c r="U871" s="108"/>
      <c r="V871" s="107"/>
    </row>
    <row r="872" spans="1:22" ht="13">
      <c r="A872" s="148" t="s">
        <v>1568</v>
      </c>
      <c r="B872" s="59">
        <f>+B871+1</f>
        <v>864</v>
      </c>
      <c r="C872" s="102">
        <v>78.3</v>
      </c>
      <c r="D872" s="92" t="str">
        <f>+A872</f>
        <v>T(14:18) TRANSLOCATION</v>
      </c>
      <c r="E872" s="147"/>
      <c r="T872" s="146"/>
      <c r="U872" s="108"/>
      <c r="V872" s="107"/>
    </row>
    <row r="873" spans="1:22" ht="13">
      <c r="A873" s="148" t="s">
        <v>1569</v>
      </c>
      <c r="B873" s="59">
        <f>+B872+1</f>
        <v>865</v>
      </c>
      <c r="C873" s="102">
        <v>85.7</v>
      </c>
      <c r="D873" s="92" t="str">
        <f>+A873</f>
        <v>BCR-ABL QUANTITATION 1</v>
      </c>
      <c r="E873" s="147"/>
      <c r="T873" s="146"/>
      <c r="U873" s="108"/>
      <c r="V873" s="107"/>
    </row>
    <row r="874" spans="1:22" ht="13">
      <c r="A874" s="148" t="s">
        <v>1570</v>
      </c>
      <c r="B874" s="59">
        <f>+B873+1</f>
        <v>866</v>
      </c>
      <c r="C874" s="102">
        <v>85.7</v>
      </c>
      <c r="D874" s="92" t="str">
        <f>+A874</f>
        <v>BCR-ABL QUANTITATION 2</v>
      </c>
      <c r="E874" s="147"/>
      <c r="T874" s="146"/>
      <c r="U874" s="108"/>
      <c r="V874" s="107"/>
    </row>
    <row r="875" spans="1:22" ht="13">
      <c r="A875" s="148" t="s">
        <v>1571</v>
      </c>
      <c r="B875" s="59">
        <f>+B874+1</f>
        <v>867</v>
      </c>
      <c r="C875" s="102">
        <v>171.4</v>
      </c>
      <c r="D875" s="92" t="str">
        <f>+A875</f>
        <v>BCR-ABL QUANTITATION 1 + 2</v>
      </c>
      <c r="E875" s="147"/>
      <c r="T875" s="146"/>
      <c r="U875" s="108"/>
      <c r="V875" s="107"/>
    </row>
    <row r="876" spans="1:22" ht="13">
      <c r="A876" s="148" t="s">
        <v>1572</v>
      </c>
      <c r="B876" s="59">
        <f>+B875+1</f>
        <v>868</v>
      </c>
      <c r="C876" s="102">
        <v>68.2</v>
      </c>
      <c r="D876" s="92" t="str">
        <f>+A876</f>
        <v>HLA B57</v>
      </c>
      <c r="E876" s="147"/>
      <c r="T876" s="146"/>
      <c r="U876" s="108"/>
      <c r="V876" s="107"/>
    </row>
    <row r="877" spans="1:22">
      <c r="A877" s="148" t="s">
        <v>1573</v>
      </c>
      <c r="B877" s="59">
        <f>+B876+1</f>
        <v>869</v>
      </c>
      <c r="C877" s="102">
        <v>139.7</v>
      </c>
      <c r="D877" s="92" t="str">
        <f>+A877</f>
        <v>BEHCETS</v>
      </c>
      <c r="E877" s="148"/>
      <c r="T877" s="148" t="s">
        <v>1552</v>
      </c>
      <c r="U877" s="108" t="s">
        <v>1574</v>
      </c>
      <c r="V877" s="107">
        <v>279.5</v>
      </c>
    </row>
    <row r="878" spans="1:22">
      <c r="A878" s="148" t="s">
        <v>1575</v>
      </c>
      <c r="B878" s="59">
        <f>+B877+1</f>
        <v>870</v>
      </c>
      <c r="C878" s="102">
        <v>241</v>
      </c>
      <c r="D878" s="92" t="str">
        <f>+A878</f>
        <v>FULL HLA CLASS 1+11 </v>
      </c>
      <c r="E878" s="148"/>
      <c r="T878" s="148" t="s">
        <v>1576</v>
      </c>
      <c r="U878" s="108" t="s">
        <v>1577</v>
      </c>
      <c r="V878" s="107">
        <v>42.9</v>
      </c>
    </row>
    <row r="879" spans="1:22">
      <c r="A879" s="148" t="s">
        <v>1578</v>
      </c>
      <c r="B879" s="59">
        <f>+B878+1</f>
        <v>871</v>
      </c>
      <c r="C879" s="102">
        <v>161.1</v>
      </c>
      <c r="D879" s="92" t="str">
        <f>+A879</f>
        <v>HIGH RESOLUTION CLASS II TYPING</v>
      </c>
      <c r="E879" s="148"/>
      <c r="T879" s="148" t="s">
        <v>1554</v>
      </c>
      <c r="U879" s="108" t="s">
        <v>1579</v>
      </c>
      <c r="V879" s="107">
        <v>27.6</v>
      </c>
    </row>
    <row r="880" spans="1:22">
      <c r="A880" s="148" t="s">
        <v>1580</v>
      </c>
      <c r="B880" s="59">
        <f>+B879+1</f>
        <v>872</v>
      </c>
      <c r="C880" s="102">
        <v>120.8</v>
      </c>
      <c r="D880" s="92" t="str">
        <f>+A880</f>
        <v>HLA TYPEING FOR LUDWIG STUDY</v>
      </c>
      <c r="E880" s="148"/>
      <c r="T880" s="148" t="s">
        <v>1555</v>
      </c>
      <c r="U880" s="108" t="s">
        <v>1555</v>
      </c>
      <c r="V880" s="107">
        <v>66.7</v>
      </c>
    </row>
    <row r="881" spans="1:22">
      <c r="A881" s="148" t="s">
        <v>1581</v>
      </c>
      <c r="B881" s="59">
        <f>+B880+1</f>
        <v>873</v>
      </c>
      <c r="C881" s="102">
        <v>139.7</v>
      </c>
      <c r="D881" s="92" t="str">
        <f>+A881</f>
        <v>CLASS 1 MATCHED PLATELETS</v>
      </c>
      <c r="E881" s="148"/>
      <c r="T881" s="148" t="s">
        <v>1556</v>
      </c>
      <c r="U881" s="108" t="s">
        <v>1582</v>
      </c>
      <c r="V881" s="107">
        <v>225.9</v>
      </c>
    </row>
    <row r="882" spans="1:22">
      <c r="A882" s="148" t="s">
        <v>1583</v>
      </c>
      <c r="B882" s="59">
        <f>+B881+1</f>
        <v>874</v>
      </c>
      <c r="C882" s="102">
        <v>120.8</v>
      </c>
      <c r="D882" s="92" t="str">
        <f>+A882</f>
        <v>HLA CLASS 1 (A-B) </v>
      </c>
      <c r="E882" s="148"/>
      <c r="T882" s="148" t="s">
        <v>1557</v>
      </c>
      <c r="U882" s="108" t="s">
        <v>1584</v>
      </c>
      <c r="V882" s="107">
        <v>268.7</v>
      </c>
    </row>
    <row r="883" spans="1:22">
      <c r="A883" s="148" t="s">
        <v>1585</v>
      </c>
      <c r="B883" s="59">
        <f>+B882+1</f>
        <v>875</v>
      </c>
      <c r="C883" s="102">
        <v>94.4</v>
      </c>
      <c r="D883" s="92" t="str">
        <f>+A883</f>
        <v>HLA CLASS 11 (DR- DQ) </v>
      </c>
      <c r="E883" s="148"/>
      <c r="T883" s="148" t="s">
        <v>1558</v>
      </c>
      <c r="U883" s="108" t="s">
        <v>1586</v>
      </c>
      <c r="V883" s="107">
        <v>225.9</v>
      </c>
    </row>
    <row r="884" spans="1:22">
      <c r="A884" s="148" t="s">
        <v>1587</v>
      </c>
      <c r="B884" s="59">
        <f>+B883+1</f>
        <v>876</v>
      </c>
      <c r="C884" s="102">
        <v>43.6</v>
      </c>
      <c r="D884" s="92" t="str">
        <f>+A884</f>
        <v>HEAMOCHROMATOSIS GENOTYPE</v>
      </c>
      <c r="E884" s="148"/>
      <c r="T884" s="148" t="s">
        <v>1559</v>
      </c>
      <c r="U884" s="108" t="s">
        <v>1588</v>
      </c>
      <c r="V884" s="107">
        <v>232.7</v>
      </c>
    </row>
    <row r="885" spans="1:22">
      <c r="A885" s="148" t="s">
        <v>1589</v>
      </c>
      <c r="B885" s="59">
        <f>+B884+1</f>
        <v>877</v>
      </c>
      <c r="C885" s="102">
        <v>7.7</v>
      </c>
      <c r="D885" s="92" t="str">
        <f>+A885</f>
        <v>INAPPROPRIATE SAMPLE</v>
      </c>
      <c r="E885" s="148"/>
      <c r="T885" s="148" t="s">
        <v>1560</v>
      </c>
      <c r="U885" s="108" t="s">
        <v>1590</v>
      </c>
      <c r="V885" s="107">
        <v>268.7</v>
      </c>
    </row>
    <row r="886" spans="1:22">
      <c r="A886" s="148" t="s">
        <v>1591</v>
      </c>
      <c r="B886" s="59">
        <f>+B885+1</f>
        <v>878</v>
      </c>
      <c r="C886" s="102">
        <v>101.8</v>
      </c>
      <c r="D886" s="92" t="str">
        <f>+A886</f>
        <v>NARCOLEPSY</v>
      </c>
      <c r="E886" s="148"/>
      <c r="T886" s="148" t="s">
        <v>1561</v>
      </c>
      <c r="U886" s="108" t="s">
        <v>1592</v>
      </c>
      <c r="V886" s="107">
        <v>7.7</v>
      </c>
    </row>
    <row r="887" spans="1:22">
      <c r="A887" s="148" t="s">
        <v>1593</v>
      </c>
      <c r="B887" s="59">
        <f>+B886+1</f>
        <v>879</v>
      </c>
      <c r="C887" s="102">
        <v>28.1</v>
      </c>
      <c r="D887" s="92" t="str">
        <f>+A887</f>
        <v>FACTOR V LEIDEN</v>
      </c>
      <c r="E887" s="148"/>
      <c r="T887" s="148" t="s">
        <v>1562</v>
      </c>
      <c r="U887" s="108" t="s">
        <v>1594</v>
      </c>
      <c r="V887" s="107">
        <v>151</v>
      </c>
    </row>
    <row r="888" spans="1:22">
      <c r="A888" s="148" t="s">
        <v>1595</v>
      </c>
      <c r="B888" s="59">
        <f>+B887+1</f>
        <v>880</v>
      </c>
      <c r="C888" s="102">
        <v>28.1</v>
      </c>
      <c r="D888" s="92" t="str">
        <f>+A888</f>
        <v>METHALINE TETRAHYDRA FOLATE REDUCTASE</v>
      </c>
      <c r="E888" s="148"/>
      <c r="T888" s="148" t="s">
        <v>1596</v>
      </c>
      <c r="U888" s="108" t="s">
        <v>1597</v>
      </c>
      <c r="V888" s="107">
        <v>316</v>
      </c>
    </row>
    <row r="889" spans="1:22">
      <c r="A889" s="148" t="s">
        <v>1598</v>
      </c>
      <c r="B889" s="59">
        <f>+B888+1</f>
        <v>881</v>
      </c>
      <c r="C889" s="102">
        <v>28.1</v>
      </c>
      <c r="D889" s="92" t="str">
        <f>+A889</f>
        <v>FACTOR II MUTATION</v>
      </c>
      <c r="E889" s="148"/>
      <c r="T889" s="148" t="s">
        <v>1564</v>
      </c>
      <c r="U889" s="108" t="s">
        <v>1599</v>
      </c>
      <c r="V889" s="107">
        <v>155.6</v>
      </c>
    </row>
    <row r="890" spans="1:22">
      <c r="A890" s="150" t="s">
        <v>1600</v>
      </c>
      <c r="B890" s="59">
        <f>+B889+1</f>
        <v>882</v>
      </c>
      <c r="C890" s="102">
        <v>139.7</v>
      </c>
      <c r="D890" s="92" t="str">
        <f>+A890</f>
        <v>HLA CLASS 1 DESEASE ASSOCIATED STUDIES</v>
      </c>
      <c r="E890" s="148"/>
      <c r="T890" s="148" t="s">
        <v>1565</v>
      </c>
      <c r="U890" s="108" t="s">
        <v>1601</v>
      </c>
      <c r="V890" s="107">
        <v>11.4</v>
      </c>
    </row>
    <row r="891" spans="1:22">
      <c r="A891" s="150" t="s">
        <v>1600</v>
      </c>
      <c r="B891" s="59">
        <f>+B890+1</f>
        <v>883</v>
      </c>
      <c r="C891" s="102">
        <v>101.8</v>
      </c>
      <c r="D891" s="92" t="str">
        <f>+A891</f>
        <v>HLA CLASS 1 DESEASE ASSOCIATED STUDIES</v>
      </c>
      <c r="E891" s="148"/>
      <c r="T891" s="148" t="s">
        <v>1566</v>
      </c>
      <c r="U891" s="144" t="s">
        <v>1566</v>
      </c>
      <c r="V891" s="107">
        <v>47.8</v>
      </c>
    </row>
    <row r="892" spans="1:22">
      <c r="A892" s="150" t="s">
        <v>1602</v>
      </c>
      <c r="B892" s="59">
        <f>+B891+1</f>
        <v>884</v>
      </c>
      <c r="C892" s="102">
        <v>168.4</v>
      </c>
      <c r="D892" s="92" t="str">
        <f>+A892</f>
        <v>CHIMERISM PRIOR TO TRANSPLANT</v>
      </c>
      <c r="E892" s="148"/>
      <c r="T892" s="148" t="s">
        <v>1567</v>
      </c>
      <c r="U892" s="108" t="s">
        <v>1603</v>
      </c>
      <c r="V892" s="107">
        <v>75.8</v>
      </c>
    </row>
    <row r="893" spans="1:22">
      <c r="A893" s="150" t="s">
        <v>1604</v>
      </c>
      <c r="B893" s="59">
        <f>+B892+1</f>
        <v>885</v>
      </c>
      <c r="C893" s="102">
        <v>76.7</v>
      </c>
      <c r="D893" s="92" t="str">
        <f>+A893</f>
        <v>CHIMERISM POST TO TRANSPLANT</v>
      </c>
      <c r="E893" s="148"/>
      <c r="T893" s="148" t="s">
        <v>1568</v>
      </c>
      <c r="U893" s="108" t="s">
        <v>1605</v>
      </c>
      <c r="V893" s="107">
        <v>78.3</v>
      </c>
    </row>
    <row r="894" spans="1:22">
      <c r="A894" s="148" t="s">
        <v>1606</v>
      </c>
      <c r="B894" s="59">
        <f>+B893+1</f>
        <v>886</v>
      </c>
      <c r="C894" s="102">
        <v>60</v>
      </c>
      <c r="D894" s="92" t="str">
        <f>+A894</f>
        <v>PRIMARY B CELL SCREEN</v>
      </c>
      <c r="E894" s="148"/>
      <c r="T894" s="148" t="s">
        <v>1607</v>
      </c>
      <c r="U894" s="108" t="s">
        <v>1608</v>
      </c>
      <c r="V894" s="107">
        <v>85.7</v>
      </c>
    </row>
    <row r="895" spans="1:22">
      <c r="A895" s="148" t="s">
        <v>1609</v>
      </c>
      <c r="B895" s="59">
        <f>+B894+1</f>
        <v>887</v>
      </c>
      <c r="C895" s="102">
        <v>60</v>
      </c>
      <c r="D895" s="92" t="str">
        <f>+A895</f>
        <v>MYELOMA MONITORING</v>
      </c>
      <c r="E895" s="148"/>
      <c r="T895" s="148" t="s">
        <v>1607</v>
      </c>
      <c r="U895" s="108" t="s">
        <v>1610</v>
      </c>
      <c r="V895" s="107">
        <v>85.7</v>
      </c>
    </row>
    <row r="896" spans="1:22" ht="13">
      <c r="A896" s="151" t="s">
        <v>1611</v>
      </c>
      <c r="B896" s="59">
        <f>+B895+1</f>
        <v>888</v>
      </c>
      <c r="C896" s="102">
        <v>0</v>
      </c>
      <c r="D896" s="92" t="str">
        <f>+A896</f>
        <v>Micro Biology</v>
      </c>
      <c r="E896" s="148"/>
      <c r="T896" s="148"/>
      <c r="U896" s="108"/>
      <c r="V896" s="107"/>
    </row>
    <row r="897" spans="1:22">
      <c r="A897" s="152" t="s">
        <v>1612</v>
      </c>
      <c r="B897" s="59">
        <f>+B896+1</f>
        <v>889</v>
      </c>
      <c r="C897" s="102">
        <v>3.68</v>
      </c>
      <c r="D897" s="92" t="str">
        <f>+A897</f>
        <v>(001) Urines</v>
      </c>
      <c r="E897" s="148"/>
      <c r="T897" s="148"/>
      <c r="U897" s="108"/>
      <c r="V897" s="107"/>
    </row>
    <row r="898" spans="1:22">
      <c r="A898" s="152" t="s">
        <v>1613</v>
      </c>
      <c r="B898" s="59">
        <f>+B897+1</f>
        <v>890</v>
      </c>
      <c r="C898" s="102">
        <v>7.62</v>
      </c>
      <c r="D898" s="92" t="str">
        <f>+A898</f>
        <v>(002) Wound</v>
      </c>
      <c r="E898" s="148"/>
      <c r="T898" s="148"/>
      <c r="U898" s="108"/>
      <c r="V898" s="107"/>
    </row>
    <row r="899" spans="1:22">
      <c r="A899" s="152" t="s">
        <v>1614</v>
      </c>
      <c r="B899" s="59">
        <f>+B898+1</f>
        <v>891</v>
      </c>
      <c r="C899" s="102">
        <v>13.99</v>
      </c>
      <c r="D899" s="92" t="str">
        <f>+A899</f>
        <v>(003) Tissue</v>
      </c>
      <c r="E899" s="148"/>
      <c r="T899" s="148"/>
      <c r="U899" s="108"/>
      <c r="V899" s="107"/>
    </row>
    <row r="900" spans="1:22">
      <c r="A900" s="152" t="s">
        <v>1615</v>
      </c>
      <c r="B900" s="59">
        <f>+B899+1</f>
        <v>892</v>
      </c>
      <c r="C900" s="102">
        <v>9.92</v>
      </c>
      <c r="D900" s="92" t="str">
        <f>+A900</f>
        <v>(004) Fluid samples</v>
      </c>
      <c r="E900" s="148"/>
      <c r="T900" s="148"/>
      <c r="U900" s="108"/>
      <c r="V900" s="107"/>
    </row>
    <row r="901" spans="1:22">
      <c r="A901" s="152" t="s">
        <v>1616</v>
      </c>
      <c r="B901" s="59">
        <f>+B900+1</f>
        <v>893</v>
      </c>
      <c r="C901" s="102">
        <v>9.69</v>
      </c>
      <c r="D901" s="92" t="str">
        <f>+A901</f>
        <v>(005) CSF (spinal fluids)</v>
      </c>
      <c r="E901" s="148"/>
      <c r="T901" s="148"/>
      <c r="U901" s="108"/>
      <c r="V901" s="107"/>
    </row>
    <row r="902" spans="1:22">
      <c r="A902" s="152" t="s">
        <v>1617</v>
      </c>
      <c r="B902" s="59">
        <f>+B901+1</f>
        <v>894</v>
      </c>
      <c r="C902" s="102">
        <v>4.03</v>
      </c>
      <c r="D902" s="92" t="str">
        <f>+A902</f>
        <v>(006) MRSA swabs</v>
      </c>
      <c r="E902" s="148"/>
      <c r="T902" s="148"/>
      <c r="U902" s="108"/>
      <c r="V902" s="107"/>
    </row>
    <row r="903" spans="1:22">
      <c r="A903" s="152" t="s">
        <v>1618</v>
      </c>
      <c r="B903" s="59">
        <f>+B902+1</f>
        <v>895</v>
      </c>
      <c r="C903" s="102">
        <v>4.15</v>
      </c>
      <c r="D903" s="92" t="str">
        <f>+A903</f>
        <v>(008) Genital swabs</v>
      </c>
      <c r="E903" s="148"/>
      <c r="T903" s="148"/>
      <c r="U903" s="108"/>
      <c r="V903" s="107"/>
    </row>
    <row r="904" spans="1:22">
      <c r="A904" s="152" t="s">
        <v>1619</v>
      </c>
      <c r="B904" s="59">
        <f>+B903+1</f>
        <v>896</v>
      </c>
      <c r="C904" s="102">
        <v>5.69</v>
      </c>
      <c r="D904" s="92" t="str">
        <f>+A904</f>
        <v>(009) URT (throat swab)</v>
      </c>
      <c r="E904" s="148"/>
      <c r="T904" s="148"/>
      <c r="U904" s="108"/>
      <c r="V904" s="107"/>
    </row>
    <row r="905" spans="1:22">
      <c r="A905" s="152" t="s">
        <v>1620</v>
      </c>
      <c r="B905" s="59">
        <f>+B904+1</f>
        <v>897</v>
      </c>
      <c r="C905" s="102">
        <v>0</v>
      </c>
      <c r="D905" s="92" t="str">
        <f>+A905</f>
        <v>(011) LRT (sputum)</v>
      </c>
      <c r="E905" s="148"/>
      <c r="T905" s="148"/>
      <c r="U905" s="108"/>
      <c r="V905" s="107"/>
    </row>
    <row r="906" spans="1:22">
      <c r="A906" s="152" t="s">
        <v>1621</v>
      </c>
      <c r="B906" s="59">
        <f>+B905+1</f>
        <v>898</v>
      </c>
      <c r="C906" s="102">
        <v>6.99</v>
      </c>
      <c r="D906" s="92" t="str">
        <f>+A906</f>
        <v>(012) Faecal samples</v>
      </c>
      <c r="E906" s="148"/>
      <c r="T906" s="148"/>
      <c r="U906" s="108"/>
      <c r="V906" s="107"/>
    </row>
    <row r="907" spans="1:22">
      <c r="A907" s="152" t="s">
        <v>1622</v>
      </c>
      <c r="B907" s="59">
        <f>+B906+1</f>
        <v>899</v>
      </c>
      <c r="C907" s="102">
        <v>7.04</v>
      </c>
      <c r="D907" s="92" t="str">
        <f>+A907</f>
        <v>(014) Blood culture</v>
      </c>
      <c r="E907" s="148"/>
      <c r="T907" s="148"/>
      <c r="U907" s="108"/>
      <c r="V907" s="107"/>
    </row>
    <row r="908" spans="1:22">
      <c r="A908" s="152" t="s">
        <v>1623</v>
      </c>
      <c r="B908" s="59">
        <f>+B907+1</f>
        <v>900</v>
      </c>
      <c r="C908" s="102">
        <v>10.36</v>
      </c>
      <c r="D908" s="92" t="str">
        <f>+A908</f>
        <v>(017) Mycology</v>
      </c>
      <c r="E908" s="148"/>
      <c r="T908" s="148"/>
      <c r="U908" s="108"/>
      <c r="V908" s="107"/>
    </row>
    <row r="909" spans="1:22">
      <c r="A909" s="152" t="s">
        <v>1624</v>
      </c>
      <c r="B909" s="59">
        <f>+B908+1</f>
        <v>901</v>
      </c>
      <c r="C909" s="102">
        <v>19.08</v>
      </c>
      <c r="D909" s="92" t="str">
        <f>+A909</f>
        <v>(018) Mycobacteria (TB)</v>
      </c>
      <c r="E909" s="148"/>
      <c r="T909" s="148"/>
      <c r="U909" s="108"/>
      <c r="V909" s="107"/>
    </row>
    <row r="910" spans="1:22">
      <c r="A910" s="152" t="s">
        <v>1625</v>
      </c>
      <c r="B910" s="59">
        <f>+B909+1</f>
        <v>902</v>
      </c>
      <c r="C910" s="102">
        <v>6.49</v>
      </c>
      <c r="D910" s="92" t="str">
        <f>+A910</f>
        <v>(019) Parasitology</v>
      </c>
      <c r="E910" s="148"/>
      <c r="T910" s="148"/>
      <c r="U910" s="108"/>
      <c r="V910" s="107"/>
    </row>
    <row r="911" spans="1:22">
      <c r="A911" s="152" t="s">
        <v>1626</v>
      </c>
      <c r="B911" s="59">
        <f>+B910+1</f>
        <v>903</v>
      </c>
      <c r="C911" s="102">
        <v>7.48</v>
      </c>
      <c r="D911" s="92" t="str">
        <f>+A911</f>
        <v>(023) Clostridium difficile toxin</v>
      </c>
      <c r="E911" s="148"/>
      <c r="T911" s="148"/>
      <c r="U911" s="108"/>
      <c r="V911" s="107"/>
    </row>
    <row r="912" spans="1:22">
      <c r="A912" s="152" t="s">
        <v>1627</v>
      </c>
      <c r="B912" s="59">
        <f>+B911+1</f>
        <v>904</v>
      </c>
      <c r="C912" s="102">
        <v>11.97</v>
      </c>
      <c r="D912" s="92" t="str">
        <f>+A912</f>
        <v>(M001) Adenovirus PCR</v>
      </c>
      <c r="E912" s="148"/>
      <c r="T912" s="148"/>
      <c r="U912" s="108"/>
      <c r="V912" s="107"/>
    </row>
    <row r="913" spans="1:22">
      <c r="A913" s="152" t="s">
        <v>1628</v>
      </c>
      <c r="B913" s="59">
        <f>+B912+1</f>
        <v>905</v>
      </c>
      <c r="C913" s="102">
        <v>19.52</v>
      </c>
      <c r="D913" s="92" t="str">
        <f>+A913</f>
        <v>(M002) Cytomegalovirus PCR</v>
      </c>
      <c r="E913" s="148"/>
      <c r="T913" s="148"/>
      <c r="U913" s="108"/>
      <c r="V913" s="107"/>
    </row>
    <row r="914" spans="1:22">
      <c r="A914" s="152" t="s">
        <v>1629</v>
      </c>
      <c r="B914" s="59">
        <f>+B913+1</f>
        <v>906</v>
      </c>
      <c r="C914" s="102">
        <v>14.98</v>
      </c>
      <c r="D914" s="92" t="str">
        <f>+A914</f>
        <v>(M003) Hepatitis C RNA</v>
      </c>
      <c r="E914" s="148"/>
      <c r="T914" s="148"/>
      <c r="U914" s="108"/>
      <c r="V914" s="107"/>
    </row>
    <row r="915" spans="1:22">
      <c r="A915" s="152" t="s">
        <v>1630</v>
      </c>
      <c r="B915" s="59">
        <f>+B914+1</f>
        <v>907</v>
      </c>
      <c r="C915" s="102">
        <v>20</v>
      </c>
      <c r="D915" s="92" t="str">
        <f>+A915</f>
        <v>(M005) Enterovirus PCR</v>
      </c>
      <c r="E915" s="148"/>
      <c r="T915" s="148"/>
      <c r="U915" s="108"/>
      <c r="V915" s="107"/>
    </row>
    <row r="916" spans="1:22">
      <c r="A916" s="152" t="s">
        <v>1631</v>
      </c>
      <c r="B916" s="59">
        <f>+B915+1</f>
        <v>908</v>
      </c>
      <c r="C916" s="102">
        <v>26.83</v>
      </c>
      <c r="D916" s="92" t="str">
        <f>+A916</f>
        <v>(M006) EBV DNA</v>
      </c>
      <c r="E916" s="148"/>
      <c r="T916" s="148"/>
      <c r="U916" s="108"/>
      <c r="V916" s="107"/>
    </row>
    <row r="917" spans="1:22">
      <c r="A917" s="152" t="s">
        <v>1632</v>
      </c>
      <c r="B917" s="59">
        <f>+B916+1</f>
        <v>909</v>
      </c>
      <c r="C917" s="102">
        <v>19.98</v>
      </c>
      <c r="D917" s="92" t="str">
        <f>+A917</f>
        <v>(M007) Influenza A PCR</v>
      </c>
      <c r="E917" s="148"/>
      <c r="T917" s="148"/>
      <c r="U917" s="108"/>
      <c r="V917" s="107"/>
    </row>
    <row r="918" spans="1:22">
      <c r="A918" s="152" t="s">
        <v>1633</v>
      </c>
      <c r="B918" s="59">
        <f>+B917+1</f>
        <v>910</v>
      </c>
      <c r="C918" s="102">
        <v>18.62</v>
      </c>
      <c r="D918" s="92" t="str">
        <f>+A918</f>
        <v>(M008) Influenza B PCR</v>
      </c>
      <c r="E918" s="148"/>
      <c r="T918" s="148"/>
      <c r="U918" s="108"/>
      <c r="V918" s="107"/>
    </row>
    <row r="919" spans="1:22">
      <c r="A919" s="152" t="s">
        <v>1634</v>
      </c>
      <c r="B919" s="59">
        <f>+B918+1</f>
        <v>911</v>
      </c>
      <c r="C919" s="102">
        <v>14.1</v>
      </c>
      <c r="D919" s="92" t="str">
        <f>+A919</f>
        <v>(M009) Herpes simplex PCR</v>
      </c>
      <c r="E919" s="148"/>
      <c r="T919" s="148"/>
      <c r="U919" s="108"/>
      <c r="V919" s="107"/>
    </row>
    <row r="920" spans="1:22">
      <c r="A920" s="152" t="s">
        <v>1635</v>
      </c>
      <c r="B920" s="59">
        <f>+B919+1</f>
        <v>912</v>
      </c>
      <c r="C920" s="102">
        <v>18.4</v>
      </c>
      <c r="D920" s="92" t="str">
        <f>+A920</f>
        <v>(M010) Norovirus PCR</v>
      </c>
      <c r="E920" s="148"/>
      <c r="T920" s="148"/>
      <c r="U920" s="108"/>
      <c r="V920" s="107"/>
    </row>
    <row r="921" spans="1:22">
      <c r="A921" s="152" t="s">
        <v>1636</v>
      </c>
      <c r="B921" s="59">
        <f>+B920+1</f>
        <v>913</v>
      </c>
      <c r="C921" s="102">
        <v>0</v>
      </c>
      <c r="D921" s="92" t="str">
        <f>+A921</f>
        <v>(M012) MENINGITIS PCR</v>
      </c>
      <c r="E921" s="148"/>
      <c r="T921" s="148"/>
      <c r="U921" s="108"/>
      <c r="V921" s="107"/>
    </row>
    <row r="922" spans="1:22">
      <c r="A922" s="152" t="s">
        <v>1637</v>
      </c>
      <c r="B922" s="59">
        <f>+B921+1</f>
        <v>914</v>
      </c>
      <c r="C922" s="102">
        <v>14.2</v>
      </c>
      <c r="D922" s="92" t="str">
        <f>+A922</f>
        <v>(M013) RSV PCR</v>
      </c>
      <c r="E922" s="148"/>
      <c r="T922" s="148"/>
      <c r="U922" s="108"/>
      <c r="V922" s="107"/>
    </row>
    <row r="923" spans="1:22">
      <c r="A923" s="152" t="s">
        <v>1638</v>
      </c>
      <c r="B923" s="59">
        <f>+B922+1</f>
        <v>915</v>
      </c>
      <c r="C923" s="102">
        <v>37.82</v>
      </c>
      <c r="D923" s="92" t="str">
        <f>+A923</f>
        <v>(M016) Hepatitis B DNA</v>
      </c>
      <c r="E923" s="148"/>
      <c r="T923" s="148"/>
      <c r="U923" s="108"/>
      <c r="V923" s="107"/>
    </row>
    <row r="924" spans="1:22">
      <c r="A924" s="152" t="s">
        <v>1639</v>
      </c>
      <c r="B924" s="59">
        <f>+B923+1</f>
        <v>916</v>
      </c>
      <c r="C924" s="102">
        <v>18.93</v>
      </c>
      <c r="D924" s="92" t="str">
        <f>+A924</f>
        <v>(M017) Parainfluenza virus PCR</v>
      </c>
      <c r="E924" s="148"/>
      <c r="T924" s="148"/>
      <c r="U924" s="108"/>
      <c r="V924" s="107"/>
    </row>
    <row r="925" spans="1:22">
      <c r="A925" s="152" t="s">
        <v>1640</v>
      </c>
      <c r="B925" s="59">
        <f>+B924+1</f>
        <v>917</v>
      </c>
      <c r="C925" s="102">
        <v>20</v>
      </c>
      <c r="D925" s="92" t="str">
        <f>+A925</f>
        <v>(M019) Varicella zoster PCR</v>
      </c>
      <c r="E925" s="148"/>
      <c r="T925" s="148"/>
      <c r="U925" s="108"/>
      <c r="V925" s="107"/>
    </row>
    <row r="926" spans="1:22">
      <c r="A926" s="152" t="s">
        <v>1641</v>
      </c>
      <c r="B926" s="59">
        <f>+B925+1</f>
        <v>918</v>
      </c>
      <c r="C926" s="102">
        <v>25</v>
      </c>
      <c r="D926" s="92" t="str">
        <f>+A926</f>
        <v>(M021) Avian influenza H5 PCR</v>
      </c>
      <c r="E926" s="148"/>
      <c r="T926" s="148"/>
      <c r="U926" s="108"/>
      <c r="V926" s="107"/>
    </row>
    <row r="927" spans="1:22" ht="13">
      <c r="A927" s="153" t="s">
        <v>1642</v>
      </c>
      <c r="B927" s="59">
        <f>+B926+1</f>
        <v>919</v>
      </c>
      <c r="C927" s="102">
        <f>+V927</f>
        <v>0</v>
      </c>
      <c r="D927" s="92" t="str">
        <f>+A927</f>
        <v>Histo_Immunogenetics</v>
      </c>
      <c r="E927" s="90"/>
      <c r="T927" s="153" t="s">
        <v>1643</v>
      </c>
      <c r="U927" s="109"/>
      <c r="V927" s="107"/>
    </row>
    <row r="928" spans="1:22">
      <c r="A928" s="154" t="str">
        <f>+T928</f>
        <v>HLA B57</v>
      </c>
      <c r="B928" s="59">
        <f>+B927+1</f>
        <v>920</v>
      </c>
      <c r="C928" s="102">
        <f>+V928</f>
        <v>68.2</v>
      </c>
      <c r="D928" s="92" t="str">
        <f>+A928</f>
        <v>HLA B57</v>
      </c>
      <c r="E928" s="154"/>
      <c r="T928" s="154" t="s">
        <v>1572</v>
      </c>
      <c r="U928" s="108" t="s">
        <v>1644</v>
      </c>
      <c r="V928" s="107">
        <v>68.2</v>
      </c>
    </row>
    <row r="929" spans="1:22">
      <c r="A929" s="154" t="str">
        <f>+T929</f>
        <v>BEHCETS</v>
      </c>
      <c r="B929" s="59">
        <f>+B928+1</f>
        <v>921</v>
      </c>
      <c r="C929" s="102">
        <f>+V929</f>
        <v>139.7</v>
      </c>
      <c r="D929" s="92" t="str">
        <f>+A929</f>
        <v>BEHCETS</v>
      </c>
      <c r="E929" s="154"/>
      <c r="T929" s="154" t="s">
        <v>1573</v>
      </c>
      <c r="U929" s="108" t="s">
        <v>1645</v>
      </c>
      <c r="V929" s="107">
        <v>139.7</v>
      </c>
    </row>
    <row r="930" spans="1:22">
      <c r="A930" s="154" t="str">
        <f>+T930</f>
        <v>FULL HLA CLASS 1+11 </v>
      </c>
      <c r="B930" s="59">
        <f>+B929+1</f>
        <v>922</v>
      </c>
      <c r="C930" s="102">
        <f>+V930</f>
        <v>241</v>
      </c>
      <c r="D930" s="92" t="str">
        <f>+A930</f>
        <v>FULL HLA CLASS 1+11 </v>
      </c>
      <c r="E930" s="154"/>
      <c r="T930" s="154" t="s">
        <v>1575</v>
      </c>
      <c r="U930" s="108" t="s">
        <v>1646</v>
      </c>
      <c r="V930" s="107">
        <v>241</v>
      </c>
    </row>
    <row r="931" spans="1:22">
      <c r="A931" s="154" t="str">
        <f>+T931</f>
        <v>HIGH RESOLUTION CLASS II TYPING</v>
      </c>
      <c r="B931" s="59">
        <f>+B930+1</f>
        <v>923</v>
      </c>
      <c r="C931" s="102">
        <f>+V931</f>
        <v>161.1</v>
      </c>
      <c r="D931" s="92" t="str">
        <f>+A931</f>
        <v>HIGH RESOLUTION CLASS II TYPING</v>
      </c>
      <c r="E931" s="154"/>
      <c r="T931" s="154" t="s">
        <v>1578</v>
      </c>
      <c r="U931" s="108" t="s">
        <v>1647</v>
      </c>
      <c r="V931" s="107">
        <v>161.1</v>
      </c>
    </row>
    <row r="932" spans="1:22">
      <c r="A932" s="154" t="str">
        <f>+T932</f>
        <v>HLA TYPEING FOR LUDWIG STUDY</v>
      </c>
      <c r="B932" s="59">
        <f>+B931+1</f>
        <v>924</v>
      </c>
      <c r="C932" s="102">
        <f>+V932</f>
        <v>120.8</v>
      </c>
      <c r="D932" s="92" t="str">
        <f>+A932</f>
        <v>HLA TYPEING FOR LUDWIG STUDY</v>
      </c>
      <c r="E932" s="154"/>
      <c r="T932" s="154" t="s">
        <v>1580</v>
      </c>
      <c r="U932" s="108" t="s">
        <v>1648</v>
      </c>
      <c r="V932" s="107">
        <v>120.8</v>
      </c>
    </row>
    <row r="933" spans="1:22">
      <c r="A933" s="154" t="str">
        <f>+T933</f>
        <v>CLASS 1 MATCHED PLATELETS</v>
      </c>
      <c r="B933" s="59">
        <f>+B932+1</f>
        <v>925</v>
      </c>
      <c r="C933" s="102">
        <f>+V933</f>
        <v>139.7</v>
      </c>
      <c r="D933" s="92" t="str">
        <f>+A933</f>
        <v>CLASS 1 MATCHED PLATELETS</v>
      </c>
      <c r="E933" s="154"/>
      <c r="T933" s="154" t="s">
        <v>1581</v>
      </c>
      <c r="U933" s="108" t="s">
        <v>1649</v>
      </c>
      <c r="V933" s="107">
        <v>139.7</v>
      </c>
    </row>
    <row r="934" spans="1:22">
      <c r="A934" s="154" t="str">
        <f>+T934</f>
        <v>HLA CLASS 1 (A-B) </v>
      </c>
      <c r="B934" s="59">
        <f>+B933+1</f>
        <v>926</v>
      </c>
      <c r="C934" s="102">
        <f>+V934</f>
        <v>120.8</v>
      </c>
      <c r="D934" s="92" t="str">
        <f>+A934</f>
        <v>HLA CLASS 1 (A-B) </v>
      </c>
      <c r="E934" s="154"/>
      <c r="T934" s="154" t="s">
        <v>1583</v>
      </c>
      <c r="U934" s="108" t="s">
        <v>1650</v>
      </c>
      <c r="V934" s="107">
        <v>120.8</v>
      </c>
    </row>
    <row r="935" spans="1:22">
      <c r="A935" s="154" t="str">
        <f>+T935</f>
        <v>HLA CLASS 11 (DR- DQ) </v>
      </c>
      <c r="B935" s="59">
        <f>+B934+1</f>
        <v>927</v>
      </c>
      <c r="C935" s="102">
        <f>+V935</f>
        <v>94.4</v>
      </c>
      <c r="D935" s="92" t="str">
        <f>+A935</f>
        <v>HLA CLASS 11 (DR- DQ) </v>
      </c>
      <c r="E935" s="154"/>
      <c r="T935" s="154" t="s">
        <v>1585</v>
      </c>
      <c r="U935" s="108" t="s">
        <v>1651</v>
      </c>
      <c r="V935" s="107">
        <v>94.4</v>
      </c>
    </row>
    <row r="936" spans="1:22">
      <c r="A936" s="154" t="str">
        <f>+T936</f>
        <v>HEAMOCHROMATOSIS GENOTYPE</v>
      </c>
      <c r="B936" s="59">
        <f>+B935+1</f>
        <v>928</v>
      </c>
      <c r="C936" s="102">
        <f>+V936</f>
        <v>43.6</v>
      </c>
      <c r="D936" s="92" t="str">
        <f>+A936</f>
        <v>HEAMOCHROMATOSIS GENOTYPE</v>
      </c>
      <c r="E936" s="154"/>
      <c r="T936" s="154" t="s">
        <v>1587</v>
      </c>
      <c r="U936" s="108" t="s">
        <v>1652</v>
      </c>
      <c r="V936" s="107">
        <v>43.6</v>
      </c>
    </row>
    <row r="937" spans="1:22">
      <c r="A937" s="154" t="str">
        <f>+T937</f>
        <v>INAPPROPRIATE SAMPLE</v>
      </c>
      <c r="B937" s="59">
        <f>+B936+1</f>
        <v>929</v>
      </c>
      <c r="C937" s="102">
        <f>+V937</f>
        <v>7.7</v>
      </c>
      <c r="D937" s="92" t="str">
        <f>+A937</f>
        <v>INAPPROPRIATE SAMPLE</v>
      </c>
      <c r="E937" s="154"/>
      <c r="T937" s="154" t="s">
        <v>1589</v>
      </c>
      <c r="U937" s="108" t="s">
        <v>1653</v>
      </c>
      <c r="V937" s="107">
        <v>7.7</v>
      </c>
    </row>
    <row r="938" spans="1:22">
      <c r="A938" s="154" t="str">
        <f>+T938</f>
        <v>NARCOLEPSY</v>
      </c>
      <c r="B938" s="59">
        <f>+B937+1</f>
        <v>930</v>
      </c>
      <c r="C938" s="102">
        <f>+V938</f>
        <v>101.8</v>
      </c>
      <c r="D938" s="92" t="str">
        <f>+A938</f>
        <v>NARCOLEPSY</v>
      </c>
      <c r="E938" s="154"/>
      <c r="T938" s="154" t="s">
        <v>1591</v>
      </c>
      <c r="U938" s="108" t="s">
        <v>1654</v>
      </c>
      <c r="V938" s="107">
        <v>101.8</v>
      </c>
    </row>
    <row r="939" spans="1:22">
      <c r="A939" s="154" t="str">
        <f>+T939</f>
        <v>FACTOR V LEIDEN</v>
      </c>
      <c r="B939" s="59">
        <f>+B938+1</f>
        <v>931</v>
      </c>
      <c r="C939" s="102">
        <f>+V939</f>
        <v>28.1</v>
      </c>
      <c r="D939" s="92" t="str">
        <f>+A939</f>
        <v>FACTOR V LEIDEN</v>
      </c>
      <c r="E939" s="154"/>
      <c r="T939" s="154" t="s">
        <v>1593</v>
      </c>
      <c r="U939" s="108" t="s">
        <v>1655</v>
      </c>
      <c r="V939" s="107">
        <v>28.1</v>
      </c>
    </row>
    <row r="940" spans="1:22">
      <c r="A940" s="154" t="str">
        <f>+T940</f>
        <v>METHALINE TETRAHYDRA FOLATE REDUCTASE</v>
      </c>
      <c r="B940" s="59">
        <f>+B939+1</f>
        <v>932</v>
      </c>
      <c r="C940" s="102">
        <f>+V940</f>
        <v>28.1</v>
      </c>
      <c r="D940" s="92" t="str">
        <f>+A940</f>
        <v>METHALINE TETRAHYDRA FOLATE REDUCTASE</v>
      </c>
      <c r="E940" s="154"/>
      <c r="T940" s="154" t="s">
        <v>1595</v>
      </c>
      <c r="U940" s="108" t="s">
        <v>1656</v>
      </c>
      <c r="V940" s="107">
        <v>28.1</v>
      </c>
    </row>
    <row r="941" spans="1:22">
      <c r="A941" s="154" t="str">
        <f>+T941</f>
        <v>FACTOR II MUTATION</v>
      </c>
      <c r="B941" s="59">
        <f>+B940+1</f>
        <v>933</v>
      </c>
      <c r="C941" s="102">
        <f>+V941</f>
        <v>28.1</v>
      </c>
      <c r="D941" s="92" t="str">
        <f>+A941</f>
        <v>FACTOR II MUTATION</v>
      </c>
      <c r="E941" s="154"/>
      <c r="T941" s="154" t="s">
        <v>1598</v>
      </c>
      <c r="U941" s="108" t="s">
        <v>1657</v>
      </c>
      <c r="V941" s="107">
        <v>28.1</v>
      </c>
    </row>
    <row r="942" spans="1:22">
      <c r="A942" s="154" t="str">
        <f>+T942</f>
        <v>HLA CLASS 1 DESEASE ASSOCIATED STUDIES</v>
      </c>
      <c r="B942" s="59">
        <f>+B941+1</f>
        <v>934</v>
      </c>
      <c r="C942" s="102">
        <f>+V942</f>
        <v>139.7</v>
      </c>
      <c r="D942" s="92" t="str">
        <f>+A942</f>
        <v>HLA CLASS 1 DESEASE ASSOCIATED STUDIES</v>
      </c>
      <c r="E942" s="154"/>
      <c r="T942" s="154" t="s">
        <v>1600</v>
      </c>
      <c r="U942" s="155" t="s">
        <v>1658</v>
      </c>
      <c r="V942" s="107">
        <v>139.7</v>
      </c>
    </row>
    <row r="943" spans="1:22">
      <c r="A943" s="154" t="str">
        <f>+T943</f>
        <v>HLA CLASS 1 DESEASE ASSOCIATED STUDIES</v>
      </c>
      <c r="B943" s="59">
        <f>+B942+1</f>
        <v>935</v>
      </c>
      <c r="C943" s="102">
        <f>+V943</f>
        <v>101.8</v>
      </c>
      <c r="D943" s="92" t="str">
        <f>+A943</f>
        <v>HLA CLASS 1 DESEASE ASSOCIATED STUDIES</v>
      </c>
      <c r="E943" s="154"/>
      <c r="T943" s="154" t="s">
        <v>1600</v>
      </c>
      <c r="U943" s="155" t="s">
        <v>1659</v>
      </c>
      <c r="V943" s="107">
        <v>101.8</v>
      </c>
    </row>
    <row r="944" spans="1:22">
      <c r="A944" s="154" t="str">
        <f>+T944</f>
        <v>CHIMERISM PRIOR TO TRANSPLANT</v>
      </c>
      <c r="B944" s="59">
        <f>+B943+1</f>
        <v>936</v>
      </c>
      <c r="C944" s="102">
        <f>+V944</f>
        <v>168.4</v>
      </c>
      <c r="D944" s="92" t="str">
        <f>+A944</f>
        <v>CHIMERISM PRIOR TO TRANSPLANT</v>
      </c>
      <c r="E944" s="156"/>
      <c r="T944" s="154" t="s">
        <v>1602</v>
      </c>
      <c r="U944" s="155" t="s">
        <v>1660</v>
      </c>
      <c r="V944" s="107">
        <v>168.4</v>
      </c>
    </row>
    <row r="945" spans="1:22">
      <c r="A945" s="154" t="str">
        <f>+T945</f>
        <v>CHIMERISM POST TO TRANSPLANT</v>
      </c>
      <c r="B945" s="59">
        <f>+B944+1</f>
        <v>937</v>
      </c>
      <c r="C945" s="102">
        <f>+V945</f>
        <v>76.7</v>
      </c>
      <c r="D945" s="92" t="str">
        <f>+A945</f>
        <v>CHIMERISM POST TO TRANSPLANT</v>
      </c>
      <c r="E945" s="156"/>
      <c r="T945" s="154" t="s">
        <v>1604</v>
      </c>
      <c r="U945" s="155" t="s">
        <v>1661</v>
      </c>
      <c r="V945" s="107">
        <v>76.7</v>
      </c>
    </row>
    <row r="946" spans="1:22">
      <c r="A946" s="154" t="str">
        <f>+T946</f>
        <v>ALDOSTERONE/RENIN RATIO</v>
      </c>
      <c r="B946" s="59">
        <f>+B945+1</f>
        <v>938</v>
      </c>
      <c r="C946" s="102">
        <f>+V946</f>
        <v>53.1</v>
      </c>
      <c r="D946" s="92" t="str">
        <f>+A946</f>
        <v>ALDOSTERONE/RENIN RATIO</v>
      </c>
      <c r="E946" s="156"/>
      <c r="T946" s="154" t="s">
        <v>282</v>
      </c>
      <c r="U946" s="111" t="s">
        <v>1662</v>
      </c>
      <c r="V946" s="107">
        <f>29+24.1</f>
        <v>53.1</v>
      </c>
    </row>
    <row r="947" spans="1:22">
      <c r="A947" s="154" t="str">
        <f>+T947</f>
        <v>PRIMARY B CELL SCREEN</v>
      </c>
      <c r="B947" s="59">
        <f>+B946+1</f>
        <v>939</v>
      </c>
      <c r="C947" s="102">
        <f>+V947</f>
        <v>60</v>
      </c>
      <c r="D947" s="92" t="str">
        <f>+A947</f>
        <v>PRIMARY B CELL SCREEN</v>
      </c>
      <c r="E947" s="156"/>
      <c r="T947" s="154" t="s">
        <v>1606</v>
      </c>
      <c r="U947" s="108" t="s">
        <v>1663</v>
      </c>
      <c r="V947" s="107">
        <v>60</v>
      </c>
    </row>
    <row r="948" spans="1:22">
      <c r="A948" s="154" t="str">
        <f>+T948</f>
        <v>MYELOMA MONITORING</v>
      </c>
      <c r="B948" s="59">
        <f>+B947+1</f>
        <v>940</v>
      </c>
      <c r="C948" s="102">
        <f>+V948</f>
        <v>60</v>
      </c>
      <c r="D948" s="92" t="str">
        <f>+A948</f>
        <v>MYELOMA MONITORING</v>
      </c>
      <c r="E948" s="156"/>
      <c r="T948" s="154" t="s">
        <v>1609</v>
      </c>
      <c r="U948" s="108" t="s">
        <v>1664</v>
      </c>
      <c r="V948" s="107">
        <v>60</v>
      </c>
    </row>
    <row r="949" spans="1:22">
      <c r="A949" s="154" t="s">
        <v>1665</v>
      </c>
      <c r="B949" s="59">
        <f>+B948+1</f>
        <v>941</v>
      </c>
      <c r="C949" s="102">
        <v>15.5</v>
      </c>
      <c r="D949" s="92" t="str">
        <f>+A949</f>
        <v>Parafin Block</v>
      </c>
      <c r="E949" s="156"/>
      <c r="T949" s="154" t="s">
        <v>1666</v>
      </c>
      <c r="U949" s="108"/>
      <c r="V949" s="107"/>
    </row>
    <row r="950" spans="1:22">
      <c r="A950" s="154" t="s">
        <v>1667</v>
      </c>
      <c r="B950" s="59">
        <f>+B949+1</f>
        <v>942</v>
      </c>
      <c r="C950" s="102">
        <v>15.5</v>
      </c>
      <c r="D950" s="92" t="str">
        <f>+A950</f>
        <v>Tumour Block</v>
      </c>
      <c r="E950" s="156"/>
      <c r="T950" s="154" t="s">
        <v>1666</v>
      </c>
      <c r="U950" s="108"/>
      <c r="V950" s="107"/>
    </row>
    <row r="951" spans="1:22">
      <c r="A951" s="154" t="str">
        <f>+T951</f>
        <v>(001) Urines</v>
      </c>
      <c r="B951" s="59">
        <f>+B950+1</f>
        <v>943</v>
      </c>
      <c r="C951" s="102">
        <f>+V951</f>
        <v>3.68</v>
      </c>
      <c r="D951" s="92" t="str">
        <f>+A951</f>
        <v>(001) Urines</v>
      </c>
      <c r="E951" s="156"/>
      <c r="T951" s="154" t="s">
        <v>1612</v>
      </c>
      <c r="U951" s="108" t="s">
        <v>1668</v>
      </c>
      <c r="V951" s="107">
        <v>3.68</v>
      </c>
    </row>
    <row r="952" spans="1:22">
      <c r="A952" s="154" t="str">
        <f>+T952</f>
        <v>(002) Wound</v>
      </c>
      <c r="B952" s="59">
        <f>+B951+1</f>
        <v>944</v>
      </c>
      <c r="C952" s="102">
        <f>+V952</f>
        <v>7.62</v>
      </c>
      <c r="D952" s="92" t="str">
        <f>+A952</f>
        <v>(002) Wound</v>
      </c>
      <c r="E952" s="156"/>
      <c r="T952" s="154" t="s">
        <v>1613</v>
      </c>
      <c r="U952" s="108" t="s">
        <v>1669</v>
      </c>
      <c r="V952" s="107">
        <v>7.62</v>
      </c>
    </row>
    <row r="953" spans="1:22">
      <c r="A953" s="154" t="str">
        <f>+T953</f>
        <v>(003) Tissue</v>
      </c>
      <c r="B953" s="59">
        <f>+B952+1</f>
        <v>945</v>
      </c>
      <c r="C953" s="102">
        <f>+V953</f>
        <v>13.99</v>
      </c>
      <c r="D953" s="92" t="str">
        <f>+A953</f>
        <v>(003) Tissue</v>
      </c>
      <c r="E953" s="156"/>
      <c r="T953" s="154" t="s">
        <v>1614</v>
      </c>
      <c r="U953" s="108" t="s">
        <v>1670</v>
      </c>
      <c r="V953" s="107">
        <v>13.99</v>
      </c>
    </row>
    <row r="954" spans="1:22">
      <c r="A954" s="154" t="str">
        <f>+T954</f>
        <v>(004) Fluid samples</v>
      </c>
      <c r="B954" s="59">
        <f>+B953+1</f>
        <v>946</v>
      </c>
      <c r="C954" s="102">
        <f>+V954</f>
        <v>9.92</v>
      </c>
      <c r="D954" s="92" t="str">
        <f>+A954</f>
        <v>(004) Fluid samples</v>
      </c>
      <c r="E954" s="156"/>
      <c r="T954" s="154" t="s">
        <v>1615</v>
      </c>
      <c r="U954" s="108" t="s">
        <v>1670</v>
      </c>
      <c r="V954" s="107">
        <v>9.92</v>
      </c>
    </row>
    <row r="955" spans="1:22">
      <c r="A955" s="154" t="str">
        <f>+T955</f>
        <v>(005) CSF (spinal fluids)</v>
      </c>
      <c r="B955" s="59">
        <f>+B954+1</f>
        <v>947</v>
      </c>
      <c r="C955" s="102">
        <f>+V955</f>
        <v>9.69</v>
      </c>
      <c r="D955" s="92" t="str">
        <f>+A955</f>
        <v>(005) CSF (spinal fluids)</v>
      </c>
      <c r="E955" s="156"/>
      <c r="T955" s="154" t="s">
        <v>1616</v>
      </c>
      <c r="U955" s="108" t="s">
        <v>1671</v>
      </c>
      <c r="V955" s="107">
        <v>9.69</v>
      </c>
    </row>
    <row r="956" spans="1:22">
      <c r="A956" s="154" t="str">
        <f>+T956</f>
        <v>(006) MRSA swabs</v>
      </c>
      <c r="B956" s="59">
        <f>+B955+1</f>
        <v>948</v>
      </c>
      <c r="C956" s="102">
        <f>+V956</f>
        <v>4.03</v>
      </c>
      <c r="D956" s="92" t="str">
        <f>+A956</f>
        <v>(006) MRSA swabs</v>
      </c>
      <c r="E956" s="156"/>
      <c r="T956" s="154" t="s">
        <v>1617</v>
      </c>
      <c r="U956" s="108" t="s">
        <v>1672</v>
      </c>
      <c r="V956" s="107">
        <v>4.03</v>
      </c>
    </row>
    <row r="957" spans="1:22">
      <c r="A957" s="154" t="str">
        <f>+T957</f>
        <v>(008) Genital swabs</v>
      </c>
      <c r="B957" s="59">
        <f>+B956+1</f>
        <v>949</v>
      </c>
      <c r="C957" s="102">
        <f>+V957</f>
        <v>4.15</v>
      </c>
      <c r="D957" s="92" t="str">
        <f>+A957</f>
        <v>(008) Genital swabs</v>
      </c>
      <c r="E957" s="156"/>
      <c r="T957" s="154" t="s">
        <v>1618</v>
      </c>
      <c r="U957" s="108" t="s">
        <v>1673</v>
      </c>
      <c r="V957" s="107">
        <v>4.15</v>
      </c>
    </row>
    <row r="958" spans="1:22">
      <c r="A958" s="154" t="str">
        <f>+T958</f>
        <v>(009) URT (throat swab)</v>
      </c>
      <c r="B958" s="59">
        <f>+B957+1</f>
        <v>950</v>
      </c>
      <c r="C958" s="102">
        <f>+V958</f>
        <v>5.69</v>
      </c>
      <c r="D958" s="92" t="str">
        <f>+A958</f>
        <v>(009) URT (throat swab)</v>
      </c>
      <c r="E958" s="156"/>
      <c r="T958" s="154" t="s">
        <v>1619</v>
      </c>
      <c r="U958" s="108" t="s">
        <v>1669</v>
      </c>
      <c r="V958" s="107">
        <v>5.69</v>
      </c>
    </row>
    <row r="959" spans="1:22">
      <c r="A959" s="154" t="str">
        <f>+T959</f>
        <v>(011) LRT (sputum)</v>
      </c>
      <c r="B959" s="59">
        <f>+B958+1</f>
        <v>951</v>
      </c>
      <c r="C959" s="102">
        <f>+V959</f>
        <v>7.6</v>
      </c>
      <c r="D959" s="92" t="str">
        <f>+A959</f>
        <v>(011) LRT (sputum)</v>
      </c>
      <c r="E959" s="156"/>
      <c r="T959" s="154" t="s">
        <v>1620</v>
      </c>
      <c r="U959" s="108" t="s">
        <v>1674</v>
      </c>
      <c r="V959" s="107">
        <v>7.6</v>
      </c>
    </row>
    <row r="960" spans="1:22">
      <c r="A960" s="154" t="str">
        <f>+T960</f>
        <v>(012) Faecal samples</v>
      </c>
      <c r="B960" s="59">
        <f>+B959+1</f>
        <v>952</v>
      </c>
      <c r="C960" s="102">
        <f>+V960</f>
        <v>6.99</v>
      </c>
      <c r="D960" s="92" t="str">
        <f>+A960</f>
        <v>(012) Faecal samples</v>
      </c>
      <c r="E960" s="156"/>
      <c r="T960" s="154" t="s">
        <v>1621</v>
      </c>
      <c r="U960" s="108" t="s">
        <v>1675</v>
      </c>
      <c r="V960" s="107">
        <v>6.99</v>
      </c>
    </row>
    <row r="961" spans="1:22">
      <c r="A961" s="154" t="str">
        <f>+T961</f>
        <v>(014) Blood culture</v>
      </c>
      <c r="B961" s="59">
        <f>+B960+1</f>
        <v>953</v>
      </c>
      <c r="C961" s="102">
        <f>+V961</f>
        <v>7.04</v>
      </c>
      <c r="D961" s="92" t="str">
        <f>+A961</f>
        <v>(014) Blood culture</v>
      </c>
      <c r="E961" s="156"/>
      <c r="T961" s="154" t="s">
        <v>1622</v>
      </c>
      <c r="U961" s="108" t="s">
        <v>1676</v>
      </c>
      <c r="V961" s="107">
        <v>7.04</v>
      </c>
    </row>
    <row r="962" spans="1:22">
      <c r="A962" s="154" t="str">
        <f>+T962</f>
        <v>(017) Mycology</v>
      </c>
      <c r="B962" s="59">
        <f>+B961+1</f>
        <v>954</v>
      </c>
      <c r="C962" s="102">
        <f>+V962</f>
        <v>10.36</v>
      </c>
      <c r="D962" s="92" t="str">
        <f>+A962</f>
        <v>(017) Mycology</v>
      </c>
      <c r="E962" s="156"/>
      <c r="T962" s="154" t="s">
        <v>1623</v>
      </c>
      <c r="U962" s="108" t="s">
        <v>1677</v>
      </c>
      <c r="V962" s="107">
        <v>10.36</v>
      </c>
    </row>
    <row r="963" spans="1:22">
      <c r="A963" s="154" t="str">
        <f>+T963</f>
        <v>(018) Mycobacteria (TB)</v>
      </c>
      <c r="B963" s="59">
        <f>+B962+1</f>
        <v>955</v>
      </c>
      <c r="C963" s="102">
        <f>+V963</f>
        <v>19.08</v>
      </c>
      <c r="D963" s="92" t="str">
        <f>+A963</f>
        <v>(018) Mycobacteria (TB)</v>
      </c>
      <c r="E963" s="156"/>
      <c r="T963" s="154" t="s">
        <v>1624</v>
      </c>
      <c r="U963" s="108" t="s">
        <v>1678</v>
      </c>
      <c r="V963" s="107">
        <v>19.08</v>
      </c>
    </row>
    <row r="964" spans="1:22">
      <c r="A964" s="154" t="str">
        <f>+T964</f>
        <v>(019) Parasitology</v>
      </c>
      <c r="B964" s="59">
        <f>+B963+1</f>
        <v>956</v>
      </c>
      <c r="C964" s="102">
        <f>+V964</f>
        <v>6.49</v>
      </c>
      <c r="D964" s="92" t="str">
        <f>+A964</f>
        <v>(019) Parasitology</v>
      </c>
      <c r="E964" s="156"/>
      <c r="T964" s="154" t="s">
        <v>1625</v>
      </c>
      <c r="U964" s="108" t="s">
        <v>1679</v>
      </c>
      <c r="V964" s="107">
        <v>6.49</v>
      </c>
    </row>
    <row r="965" spans="1:22">
      <c r="A965" s="154" t="str">
        <f>+T965</f>
        <v>(023) Clostridium difficile toxin</v>
      </c>
      <c r="B965" s="59">
        <f>+B964+1</f>
        <v>957</v>
      </c>
      <c r="C965" s="102">
        <f>+V965</f>
        <v>7.48</v>
      </c>
      <c r="D965" s="92" t="str">
        <f>+A965</f>
        <v>(023) Clostridium difficile toxin</v>
      </c>
      <c r="E965" s="156"/>
      <c r="T965" s="154" t="s">
        <v>1626</v>
      </c>
      <c r="U965" s="108" t="s">
        <v>1680</v>
      </c>
      <c r="V965" s="107">
        <v>7.48</v>
      </c>
    </row>
    <row r="966" spans="1:22">
      <c r="A966" s="154" t="str">
        <f>+T966</f>
        <v>(M001) Adenovirus PCR</v>
      </c>
      <c r="B966" s="59">
        <f>+B965+1</f>
        <v>958</v>
      </c>
      <c r="C966" s="102">
        <f>+V966</f>
        <v>11.97</v>
      </c>
      <c r="D966" s="92" t="str">
        <f>+A966</f>
        <v>(M001) Adenovirus PCR</v>
      </c>
      <c r="E966" s="156"/>
      <c r="T966" s="154" t="s">
        <v>1627</v>
      </c>
      <c r="U966" s="108" t="s">
        <v>1681</v>
      </c>
      <c r="V966" s="107">
        <v>11.97</v>
      </c>
    </row>
    <row r="967" spans="1:22">
      <c r="A967" s="154" t="str">
        <f>+T967</f>
        <v>(M002) Cytomegalovirus PCR</v>
      </c>
      <c r="B967" s="59">
        <f>+B966+1</f>
        <v>959</v>
      </c>
      <c r="C967" s="102">
        <f>+V967</f>
        <v>19.52</v>
      </c>
      <c r="D967" s="92" t="str">
        <f>+A967</f>
        <v>(M002) Cytomegalovirus PCR</v>
      </c>
      <c r="E967" s="156"/>
      <c r="T967" s="154" t="s">
        <v>1628</v>
      </c>
      <c r="U967" s="108" t="s">
        <v>1682</v>
      </c>
      <c r="V967" s="107">
        <v>19.52</v>
      </c>
    </row>
    <row r="968" spans="1:22">
      <c r="A968" s="154" t="str">
        <f>+T968</f>
        <v>(M003) Hepatitis C RNA</v>
      </c>
      <c r="B968" s="59">
        <f>+B967+1</f>
        <v>960</v>
      </c>
      <c r="C968" s="102">
        <f>+V968</f>
        <v>14.98</v>
      </c>
      <c r="D968" s="92" t="str">
        <f>+A968</f>
        <v>(M003) Hepatitis C RNA</v>
      </c>
      <c r="E968" s="156"/>
      <c r="T968" s="154" t="s">
        <v>1629</v>
      </c>
      <c r="U968" s="108" t="s">
        <v>1683</v>
      </c>
      <c r="V968" s="107">
        <v>14.98</v>
      </c>
    </row>
    <row r="969" spans="1:22">
      <c r="A969" s="154" t="str">
        <f>+T969</f>
        <v>(M005) Enterovirus PCR</v>
      </c>
      <c r="B969" s="59">
        <f>+B968+1</f>
        <v>961</v>
      </c>
      <c r="C969" s="102">
        <f>+V969</f>
        <v>20</v>
      </c>
      <c r="D969" s="92" t="str">
        <f>+A969</f>
        <v>(M005) Enterovirus PCR</v>
      </c>
      <c r="E969" s="156"/>
      <c r="T969" s="154" t="s">
        <v>1630</v>
      </c>
      <c r="U969" s="108" t="s">
        <v>1684</v>
      </c>
      <c r="V969" s="107">
        <v>20</v>
      </c>
    </row>
    <row r="970" spans="1:22">
      <c r="A970" s="154" t="str">
        <f>+T970</f>
        <v>(M006) EBV DNA</v>
      </c>
      <c r="B970" s="59">
        <f>+B969+1</f>
        <v>962</v>
      </c>
      <c r="C970" s="102">
        <f>+V970</f>
        <v>26.83</v>
      </c>
      <c r="D970" s="92" t="str">
        <f>+A970</f>
        <v>(M006) EBV DNA</v>
      </c>
      <c r="E970" s="156"/>
      <c r="T970" s="154" t="s">
        <v>1631</v>
      </c>
      <c r="U970" s="108" t="s">
        <v>1685</v>
      </c>
      <c r="V970" s="107">
        <v>26.83</v>
      </c>
    </row>
    <row r="971" spans="1:22">
      <c r="A971" s="154" t="str">
        <f>+T971</f>
        <v>(M007) Influenza A PCR</v>
      </c>
      <c r="B971" s="59">
        <f>+B970+1</f>
        <v>963</v>
      </c>
      <c r="C971" s="102">
        <f>+V971</f>
        <v>19.98</v>
      </c>
      <c r="D971" s="92" t="str">
        <f>+A971</f>
        <v>(M007) Influenza A PCR</v>
      </c>
      <c r="E971" s="156"/>
      <c r="T971" s="154" t="s">
        <v>1632</v>
      </c>
      <c r="U971" s="108" t="s">
        <v>1686</v>
      </c>
      <c r="V971" s="107">
        <v>19.98</v>
      </c>
    </row>
    <row r="972" spans="1:22">
      <c r="A972" s="154" t="str">
        <f>+T972</f>
        <v>(M008) Influenza B PCR</v>
      </c>
      <c r="B972" s="59">
        <f>+B971+1</f>
        <v>964</v>
      </c>
      <c r="C972" s="102">
        <f>+V972</f>
        <v>18.62</v>
      </c>
      <c r="D972" s="92" t="str">
        <f>+A972</f>
        <v>(M008) Influenza B PCR</v>
      </c>
      <c r="E972" s="156"/>
      <c r="T972" s="154" t="s">
        <v>1633</v>
      </c>
      <c r="U972" s="108" t="s">
        <v>1687</v>
      </c>
      <c r="V972" s="107">
        <v>18.62</v>
      </c>
    </row>
    <row r="973" spans="1:22">
      <c r="A973" s="154" t="str">
        <f>+T973</f>
        <v>(M009) Herpes simplex PCR</v>
      </c>
      <c r="B973" s="59">
        <f>+B972+1</f>
        <v>965</v>
      </c>
      <c r="C973" s="102">
        <f>+V973</f>
        <v>14.1</v>
      </c>
      <c r="D973" s="92" t="str">
        <f>+A973</f>
        <v>(M009) Herpes simplex PCR</v>
      </c>
      <c r="E973" s="156"/>
      <c r="T973" s="154" t="s">
        <v>1634</v>
      </c>
      <c r="U973" s="108" t="s">
        <v>1688</v>
      </c>
      <c r="V973" s="107">
        <v>14.1</v>
      </c>
    </row>
    <row r="974" spans="1:22">
      <c r="A974" s="154" t="str">
        <f>+T974</f>
        <v>(M010) Norovirus PCR</v>
      </c>
      <c r="B974" s="59">
        <f>+B973+1</f>
        <v>966</v>
      </c>
      <c r="C974" s="102">
        <f>+V974</f>
        <v>18.4</v>
      </c>
      <c r="D974" s="92" t="str">
        <f>+A974</f>
        <v>(M010) Norovirus PCR</v>
      </c>
      <c r="E974" s="156"/>
      <c r="T974" s="154" t="s">
        <v>1635</v>
      </c>
      <c r="U974" s="108" t="s">
        <v>1689</v>
      </c>
      <c r="V974" s="107">
        <v>18.4</v>
      </c>
    </row>
    <row r="975" spans="1:22">
      <c r="A975" s="154" t="str">
        <f>+T975</f>
        <v>(M013) RSV PCR</v>
      </c>
      <c r="B975" s="59">
        <f>+B974+1</f>
        <v>967</v>
      </c>
      <c r="C975" s="102">
        <f>+V975</f>
        <v>14.2</v>
      </c>
      <c r="D975" s="92" t="str">
        <f>+A975</f>
        <v>(M013) RSV PCR</v>
      </c>
      <c r="E975" s="156"/>
      <c r="T975" s="154" t="s">
        <v>1637</v>
      </c>
      <c r="U975" s="108" t="s">
        <v>1690</v>
      </c>
      <c r="V975" s="107">
        <v>14.2</v>
      </c>
    </row>
    <row r="976" spans="1:22">
      <c r="A976" s="154" t="str">
        <f>+T976</f>
        <v>(M016) Hepatitis B DNA</v>
      </c>
      <c r="B976" s="59">
        <f>+B975+1</f>
        <v>968</v>
      </c>
      <c r="C976" s="102">
        <f>+V976</f>
        <v>37.82</v>
      </c>
      <c r="D976" s="92" t="str">
        <f>+A976</f>
        <v>(M016) Hepatitis B DNA</v>
      </c>
      <c r="E976" s="156"/>
      <c r="T976" s="154" t="s">
        <v>1638</v>
      </c>
      <c r="U976" s="108" t="s">
        <v>1691</v>
      </c>
      <c r="V976" s="107">
        <v>37.82</v>
      </c>
    </row>
    <row r="977" spans="1:22">
      <c r="A977" s="154" t="str">
        <f>+T977</f>
        <v>(M017) Parainfluenza virus PCR</v>
      </c>
      <c r="B977" s="59">
        <f>+B976+1</f>
        <v>969</v>
      </c>
      <c r="C977" s="102">
        <f>+V977</f>
        <v>18.93</v>
      </c>
      <c r="D977" s="92" t="str">
        <f>+A977</f>
        <v>(M017) Parainfluenza virus PCR</v>
      </c>
      <c r="E977" s="156"/>
      <c r="T977" s="154" t="s">
        <v>1639</v>
      </c>
      <c r="U977" s="108" t="s">
        <v>1692</v>
      </c>
      <c r="V977" s="107">
        <v>18.93</v>
      </c>
    </row>
    <row r="978" spans="1:22">
      <c r="A978" s="154" t="str">
        <f>+T978</f>
        <v>(M019) Varicella zoster PCR</v>
      </c>
      <c r="B978" s="59">
        <f>+B977+1</f>
        <v>970</v>
      </c>
      <c r="C978" s="102">
        <f>+V978</f>
        <v>20</v>
      </c>
      <c r="D978" s="92" t="str">
        <f>+A978</f>
        <v>(M019) Varicella zoster PCR</v>
      </c>
      <c r="E978" s="156"/>
      <c r="T978" s="154" t="s">
        <v>1640</v>
      </c>
      <c r="U978" s="108" t="s">
        <v>1693</v>
      </c>
      <c r="V978" s="107">
        <v>20</v>
      </c>
    </row>
    <row r="979" spans="1:22">
      <c r="A979" s="154" t="str">
        <f>+T979</f>
        <v>(M021) Avian influenza H5 PCR</v>
      </c>
      <c r="B979" s="59">
        <f>+B978+1</f>
        <v>971</v>
      </c>
      <c r="C979" s="102">
        <f>+V979</f>
        <v>25</v>
      </c>
      <c r="D979" s="92" t="str">
        <f>+A979</f>
        <v>(M021) Avian influenza H5 PCR</v>
      </c>
      <c r="E979" s="156"/>
      <c r="T979" s="154" t="s">
        <v>1641</v>
      </c>
      <c r="U979" s="108" t="s">
        <v>1694</v>
      </c>
      <c r="V979" s="107">
        <v>25</v>
      </c>
    </row>
    <row r="980" spans="1:20" ht="13">
      <c r="A980" s="157" t="s">
        <v>1695</v>
      </c>
      <c r="B980" s="59">
        <f>+B979+1</f>
        <v>972</v>
      </c>
      <c r="C980" s="94">
        <v>0</v>
      </c>
      <c r="D980" s="92" t="str">
        <f>+A980</f>
        <v>Pharmacy</v>
      </c>
      <c r="E980" s="90"/>
      <c r="T980" s="157"/>
    </row>
    <row r="981" spans="1:20">
      <c r="A981" s="158" t="s">
        <v>1696</v>
      </c>
      <c r="B981" s="59">
        <f>+B980+1</f>
        <v>973</v>
      </c>
      <c r="C981" s="102">
        <v>908</v>
      </c>
      <c r="D981" s="92" t="str">
        <f>+A981</f>
        <v>Set-up Dispensary based</v>
      </c>
      <c r="E981" s="158"/>
      <c r="T981" s="158"/>
    </row>
    <row r="982" spans="1:20">
      <c r="A982" s="158" t="s">
        <v>1697</v>
      </c>
      <c r="B982" s="59">
        <f>+B981+1</f>
        <v>974</v>
      </c>
      <c r="C982" s="102">
        <v>1815</v>
      </c>
      <c r="D982" s="92" t="str">
        <f>+A982</f>
        <v>Set-up Oral &amp; Injectable (2 depts)</v>
      </c>
      <c r="E982" s="158"/>
      <c r="T982" s="158"/>
    </row>
    <row r="983" spans="1:20">
      <c r="A983" s="158" t="s">
        <v>1698</v>
      </c>
      <c r="B983" s="59">
        <f>+B982+1</f>
        <v>975</v>
      </c>
      <c r="C983" s="102">
        <v>1082</v>
      </c>
      <c r="D983" s="92" t="str">
        <f>+A983</f>
        <v>Set-up Technical Services</v>
      </c>
      <c r="E983" s="158"/>
      <c r="T983" s="158"/>
    </row>
    <row r="984" spans="1:20">
      <c r="A984" s="158" t="s">
        <v>1699</v>
      </c>
      <c r="B984" s="59">
        <f>+B983+1</f>
        <v>976</v>
      </c>
      <c r="C984" s="102">
        <v>110</v>
      </c>
      <c r="D984" s="92" t="str">
        <f>+A984</f>
        <v>Trial Maintenance monthly</v>
      </c>
      <c r="E984" s="158"/>
      <c r="T984" s="158"/>
    </row>
    <row r="985" spans="1:20">
      <c r="A985" s="158" t="s">
        <v>1700</v>
      </c>
      <c r="B985" s="59">
        <f>+B984+1</f>
        <v>977</v>
      </c>
      <c r="C985" s="102">
        <v>100</v>
      </c>
      <c r="D985" s="92" t="str">
        <f>+A985</f>
        <v>Storage</v>
      </c>
      <c r="E985" s="158"/>
      <c r="T985" s="158"/>
    </row>
    <row r="986" spans="1:20">
      <c r="A986" s="158" t="s">
        <v>1701</v>
      </c>
      <c r="B986" s="59">
        <f>+B985+1</f>
        <v>978</v>
      </c>
      <c r="C986" s="102">
        <v>32</v>
      </c>
      <c r="D986" s="92" t="str">
        <f>+A986</f>
        <v>Dispensing</v>
      </c>
      <c r="E986" s="158"/>
      <c r="T986" s="158"/>
    </row>
    <row r="987" spans="1:20">
      <c r="A987" s="158" t="s">
        <v>1702</v>
      </c>
      <c r="B987" s="59">
        <f>+B986+1</f>
        <v>979</v>
      </c>
      <c r="C987" s="102">
        <v>13.5</v>
      </c>
      <c r="D987" s="92" t="str">
        <f>+A987</f>
        <v>Medicine reconcilation</v>
      </c>
      <c r="E987" s="158"/>
      <c r="T987" s="158"/>
    </row>
    <row r="988" spans="1:20">
      <c r="A988" s="158" t="s">
        <v>1703</v>
      </c>
      <c r="B988" s="59">
        <f>+B987+1</f>
        <v>980</v>
      </c>
      <c r="C988" s="102">
        <v>0</v>
      </c>
      <c r="D988" s="92" t="str">
        <f>+A988</f>
        <v>Injection dispensed</v>
      </c>
      <c r="E988" s="158"/>
      <c r="T988" s="158"/>
    </row>
    <row r="989" spans="1:20">
      <c r="A989" s="158" t="s">
        <v>1704</v>
      </c>
      <c r="B989" s="59">
        <f>+B988+1</f>
        <v>981</v>
      </c>
      <c r="C989" s="102">
        <v>100</v>
      </c>
      <c r="D989" s="92" t="str">
        <f>+A989</f>
        <v>waste disposal</v>
      </c>
      <c r="E989" s="158"/>
      <c r="T989" s="158"/>
    </row>
    <row r="990" spans="1:20" ht="13">
      <c r="A990" s="159" t="s">
        <v>1705</v>
      </c>
      <c r="B990" s="59">
        <f>+B989+1</f>
        <v>982</v>
      </c>
      <c r="C990" s="67">
        <v>0</v>
      </c>
      <c r="D990" s="92" t="str">
        <f>+A990</f>
        <v>Radiology</v>
      </c>
      <c r="E990" s="160"/>
      <c r="T990" s="159"/>
    </row>
    <row r="991" spans="1:20" ht="13">
      <c r="A991" s="161" t="s">
        <v>1706</v>
      </c>
      <c r="B991" s="59">
        <f>+B990+1</f>
        <v>983</v>
      </c>
      <c r="C991" s="67">
        <v>60</v>
      </c>
      <c r="D991" s="92" t="str">
        <f>+A991</f>
        <v>Audiology</v>
      </c>
      <c r="E991" s="160"/>
      <c r="T991" s="159"/>
    </row>
    <row r="992" spans="1:20">
      <c r="A992" s="162" t="s">
        <v>1707</v>
      </c>
      <c r="B992" s="59">
        <f>+B991+1</f>
        <v>984</v>
      </c>
      <c r="C992" s="163">
        <v>29.96</v>
      </c>
      <c r="D992" s="92" t="str">
        <f>+A992</f>
        <v>X-Ray multiple views with report</v>
      </c>
      <c r="E992" s="161" t="s">
        <v>1708</v>
      </c>
      <c r="T992" s="162"/>
    </row>
    <row r="993" spans="1:20">
      <c r="A993" s="162" t="s">
        <v>1709</v>
      </c>
      <c r="B993" s="59">
        <f>+B992+1</f>
        <v>985</v>
      </c>
      <c r="C993" s="163">
        <v>21.97</v>
      </c>
      <c r="D993" s="92" t="str">
        <f>+A993</f>
        <v>X-Ray single view with report</v>
      </c>
      <c r="E993" s="161" t="s">
        <v>1708</v>
      </c>
      <c r="T993" s="162"/>
    </row>
    <row r="994" spans="1:20">
      <c r="A994" s="162" t="s">
        <v>1710</v>
      </c>
      <c r="B994" s="59">
        <f>+B993+1</f>
        <v>986</v>
      </c>
      <c r="C994" s="163">
        <v>49.94</v>
      </c>
      <c r="D994" s="92" t="str">
        <f>+A994</f>
        <v>X-Ray spine or bone with report</v>
      </c>
      <c r="E994" s="161" t="s">
        <v>1708</v>
      </c>
      <c r="T994" s="162"/>
    </row>
    <row r="995" spans="1:20">
      <c r="A995" s="161" t="s">
        <v>1711</v>
      </c>
      <c r="B995" s="59">
        <f>+B994+1</f>
        <v>987</v>
      </c>
      <c r="C995" s="67">
        <v>60</v>
      </c>
      <c r="D995" s="92" t="str">
        <f>+A995</f>
        <v>Ultrasound Scan less than 20 minutes</v>
      </c>
      <c r="E995" s="161" t="s">
        <v>1712</v>
      </c>
      <c r="H995" s="79"/>
      <c r="T995" s="161"/>
    </row>
    <row r="996" spans="1:20">
      <c r="A996" s="161" t="s">
        <v>1713</v>
      </c>
      <c r="B996" s="59">
        <f>+B995+1</f>
        <v>988</v>
      </c>
      <c r="C996" s="67">
        <v>92</v>
      </c>
      <c r="D996" s="92" t="str">
        <f>+A996</f>
        <v>Ultrasound Scan more than 20 minutes</v>
      </c>
      <c r="E996" s="161" t="s">
        <v>1714</v>
      </c>
      <c r="H996" s="79"/>
      <c r="T996" s="161"/>
    </row>
    <row r="997" spans="1:20">
      <c r="A997" s="161" t="s">
        <v>1715</v>
      </c>
      <c r="B997" s="59">
        <f>+B996+1</f>
        <v>989</v>
      </c>
      <c r="C997" s="163">
        <v>62.424</v>
      </c>
      <c r="D997" s="92" t="str">
        <f>+A997</f>
        <v>Ultrasound (Upper Abdomen/Liver)</v>
      </c>
      <c r="E997" s="161"/>
      <c r="T997" s="161"/>
    </row>
    <row r="998" spans="1:20">
      <c r="A998" s="162" t="s">
        <v>1716</v>
      </c>
      <c r="B998" s="59">
        <f>+B997+1</f>
        <v>990</v>
      </c>
      <c r="C998" s="163">
        <v>49.94</v>
      </c>
      <c r="D998" s="92" t="str">
        <f>+A998</f>
        <v>Biopsy ~ bone marrow</v>
      </c>
      <c r="E998" s="161" t="s">
        <v>1708</v>
      </c>
      <c r="T998" s="162"/>
    </row>
    <row r="999" spans="1:20">
      <c r="A999" s="162" t="s">
        <v>1717</v>
      </c>
      <c r="B999" s="59">
        <f>+B998+1</f>
        <v>991</v>
      </c>
      <c r="C999" s="163">
        <v>47.94</v>
      </c>
      <c r="D999" s="92" t="str">
        <f>+A999</f>
        <v>Biopsy ~ skin</v>
      </c>
      <c r="E999" s="161" t="s">
        <v>1708</v>
      </c>
      <c r="T999" s="162"/>
    </row>
    <row r="1000" spans="1:20">
      <c r="A1000" s="162" t="s">
        <v>1718</v>
      </c>
      <c r="B1000" s="59">
        <f>+B999+1</f>
        <v>992</v>
      </c>
      <c r="C1000" s="163">
        <v>184.94</v>
      </c>
      <c r="D1000" s="92" t="str">
        <f>+A1000</f>
        <v>Biopsy ~ muscle</v>
      </c>
      <c r="E1000" s="161" t="s">
        <v>1708</v>
      </c>
      <c r="T1000" s="162"/>
    </row>
    <row r="1001" spans="1:20">
      <c r="A1001" s="161" t="s">
        <v>1719</v>
      </c>
      <c r="B1001" s="59">
        <f>+B1000+1</f>
        <v>993</v>
      </c>
      <c r="C1001" s="163">
        <v>105</v>
      </c>
      <c r="D1001" s="92" t="str">
        <f>+A1001</f>
        <v>Biopsy ~ fluoro/ultrasound guidance</v>
      </c>
      <c r="E1001" s="161"/>
      <c r="T1001" s="161"/>
    </row>
    <row r="1002" spans="1:20">
      <c r="A1002" s="161" t="s">
        <v>1720</v>
      </c>
      <c r="B1002" s="59">
        <f>+B1001+1</f>
        <v>994</v>
      </c>
      <c r="C1002" s="163">
        <v>145.6</v>
      </c>
      <c r="D1002" s="92" t="str">
        <f>+A1002</f>
        <v>Biopsy ~  CT guidance</v>
      </c>
      <c r="E1002" s="161"/>
      <c r="T1002" s="161"/>
    </row>
    <row r="1003" spans="1:20">
      <c r="A1003" s="161" t="s">
        <v>1721</v>
      </c>
      <c r="B1003" s="59">
        <f>+B1002+1</f>
        <v>995</v>
      </c>
      <c r="C1003" s="163">
        <v>473.382</v>
      </c>
      <c r="D1003" s="92" t="str">
        <f>+A1003</f>
        <v>Angiography</v>
      </c>
      <c r="E1003" s="161"/>
      <c r="T1003" s="161"/>
    </row>
    <row r="1004" spans="1:20">
      <c r="A1004" s="161" t="s">
        <v>1722</v>
      </c>
      <c r="B1004" s="59">
        <f>+B1003+1</f>
        <v>996</v>
      </c>
      <c r="C1004" s="163">
        <v>57.222</v>
      </c>
      <c r="D1004" s="92" t="str">
        <f>+A1004</f>
        <v>Fluoroscopy/screening</v>
      </c>
      <c r="E1004" s="161"/>
      <c r="T1004" s="161"/>
    </row>
    <row r="1005" spans="1:20">
      <c r="A1005" s="161" t="s">
        <v>1723</v>
      </c>
      <c r="B1005" s="59">
        <f>+B1004+1</f>
        <v>997</v>
      </c>
      <c r="C1005" s="164" t="s">
        <v>1724</v>
      </c>
      <c r="D1005" s="92" t="str">
        <f>+A1005</f>
        <v>Cardiac Investigations</v>
      </c>
      <c r="E1005" s="161"/>
      <c r="T1005" s="161"/>
    </row>
    <row r="1006" spans="1:20">
      <c r="A1006" s="161" t="s">
        <v>1725</v>
      </c>
      <c r="B1006" s="59">
        <f>+B1005+1</f>
        <v>998</v>
      </c>
      <c r="C1006" s="164">
        <v>21.97</v>
      </c>
      <c r="D1006" s="92" t="str">
        <f>+A1006</f>
        <v>CXR PA</v>
      </c>
      <c r="E1006" s="161"/>
      <c r="T1006" s="161"/>
    </row>
    <row r="1007" spans="1:20">
      <c r="A1007" s="161" t="s">
        <v>1726</v>
      </c>
      <c r="B1007" s="59">
        <f>+B1006+1</f>
        <v>999</v>
      </c>
      <c r="C1007" s="164">
        <v>29.96</v>
      </c>
      <c r="D1007" s="92" t="str">
        <f>+A1007</f>
        <v>CXR PA &amp; Lat</v>
      </c>
      <c r="E1007" s="161"/>
      <c r="T1007" s="161"/>
    </row>
    <row r="1008" spans="1:20">
      <c r="A1008" s="161" t="s">
        <v>1727</v>
      </c>
      <c r="B1008" s="59">
        <f>+B1007+1</f>
        <v>1000</v>
      </c>
      <c r="C1008" s="164">
        <v>79.9</v>
      </c>
      <c r="D1008" s="92" t="str">
        <f>+A1008</f>
        <v>U/S Liver</v>
      </c>
      <c r="E1008" s="161"/>
      <c r="T1008" s="161"/>
    </row>
    <row r="1009" spans="1:20">
      <c r="A1009" s="165" t="s">
        <v>1728</v>
      </c>
      <c r="B1009" s="59">
        <f>+B1008+1</f>
        <v>1001</v>
      </c>
      <c r="C1009" s="67">
        <v>188.2067</v>
      </c>
      <c r="D1009" s="92" t="str">
        <f>+A1009</f>
        <v>MRI Scan, one area, no contrast</v>
      </c>
      <c r="E1009" s="161" t="s">
        <v>1729</v>
      </c>
      <c r="T1009" s="165"/>
    </row>
    <row r="1010" spans="1:20">
      <c r="A1010" s="165" t="s">
        <v>1730</v>
      </c>
      <c r="B1010" s="59">
        <f>+B1009+1</f>
        <v>1002</v>
      </c>
      <c r="C1010" s="67">
        <v>254.5686</v>
      </c>
      <c r="D1010" s="92" t="str">
        <f>+A1010</f>
        <v>MRI Scan, one area, post contrast only</v>
      </c>
      <c r="E1010" s="161" t="s">
        <v>1731</v>
      </c>
      <c r="T1010" s="165"/>
    </row>
    <row r="1011" spans="1:20">
      <c r="A1011" s="165" t="s">
        <v>1732</v>
      </c>
      <c r="B1011" s="59">
        <f>+B1010+1</f>
        <v>1003</v>
      </c>
      <c r="C1011" s="67">
        <v>254.5686</v>
      </c>
      <c r="D1011" s="92" t="str">
        <f>+A1011</f>
        <v>MRI Scan, one area, pre and post contrast</v>
      </c>
      <c r="E1011" s="161" t="s">
        <v>1733</v>
      </c>
      <c r="T1011" s="165"/>
    </row>
    <row r="1012" spans="1:20">
      <c r="A1012" s="165" t="s">
        <v>1734</v>
      </c>
      <c r="B1012" s="59">
        <f>+B1011+1</f>
        <v>1004</v>
      </c>
      <c r="C1012" s="67">
        <v>298.0846</v>
      </c>
      <c r="D1012" s="92" t="str">
        <f>+A1012</f>
        <v>MRI Scan, two - three areas, no contrast</v>
      </c>
      <c r="E1012" s="161" t="s">
        <v>1735</v>
      </c>
      <c r="T1012" s="165"/>
    </row>
    <row r="1013" spans="1:20">
      <c r="A1013" s="165" t="s">
        <v>1736</v>
      </c>
      <c r="B1013" s="59">
        <f>+B1012+1</f>
        <v>1005</v>
      </c>
      <c r="C1013" s="67">
        <v>347.0401</v>
      </c>
      <c r="D1013" s="92" t="str">
        <f>+A1013</f>
        <v>MRI Scan, two - three areas, with contrast</v>
      </c>
      <c r="E1013" s="161" t="s">
        <v>1737</v>
      </c>
      <c r="T1013" s="165"/>
    </row>
    <row r="1014" spans="1:20">
      <c r="A1014" s="165" t="s">
        <v>1738</v>
      </c>
      <c r="B1014" s="59">
        <f>+B1013+1</f>
        <v>1006</v>
      </c>
      <c r="C1014" s="67">
        <v>312.2273</v>
      </c>
      <c r="D1014" s="92" t="str">
        <f>+A1014</f>
        <v>MRI Scan, more than three areas</v>
      </c>
      <c r="E1014" s="161" t="s">
        <v>1739</v>
      </c>
      <c r="T1014" s="165"/>
    </row>
    <row r="1015" spans="1:20">
      <c r="A1015" s="165" t="s">
        <v>1740</v>
      </c>
      <c r="B1015" s="59">
        <f>+B1014+1</f>
        <v>1007</v>
      </c>
      <c r="C1015" s="67">
        <v>384.0287</v>
      </c>
      <c r="D1015" s="92" t="str">
        <f>+A1015</f>
        <v>MRI Scan, requiring extensive patient repositioning and/or more than one contrast agent</v>
      </c>
      <c r="E1015" s="161" t="s">
        <v>1741</v>
      </c>
      <c r="T1015" s="165"/>
    </row>
    <row r="1016" spans="1:20">
      <c r="A1016" s="165" t="s">
        <v>1742</v>
      </c>
      <c r="B1016" s="59">
        <f>+B1015+1</f>
        <v>1008</v>
      </c>
      <c r="C1016" s="67">
        <v>110.9658</v>
      </c>
      <c r="D1016" s="92" t="str">
        <f>+A1016</f>
        <v>CT Scan, one area, no contrast</v>
      </c>
      <c r="E1016" s="161" t="s">
        <v>1743</v>
      </c>
      <c r="T1016" s="165"/>
    </row>
    <row r="1017" spans="1:20">
      <c r="A1017" s="165" t="s">
        <v>1744</v>
      </c>
      <c r="B1017" s="59">
        <f>+B1016+1</f>
        <v>1009</v>
      </c>
      <c r="C1017" s="67">
        <v>138.1633</v>
      </c>
      <c r="D1017" s="92" t="str">
        <f>+A1017</f>
        <v>CT Scan, one area with post contrast only</v>
      </c>
      <c r="E1017" s="161" t="s">
        <v>1745</v>
      </c>
      <c r="T1017" s="165"/>
    </row>
    <row r="1018" spans="1:20">
      <c r="A1018" s="165" t="s">
        <v>1746</v>
      </c>
      <c r="B1018" s="59">
        <f>+B1017+1</f>
        <v>1010</v>
      </c>
      <c r="C1018" s="67">
        <v>159.9213</v>
      </c>
      <c r="D1018" s="92" t="str">
        <f>+A1018</f>
        <v>CT Scan, one area, pre and post contrast</v>
      </c>
      <c r="E1018" s="161" t="s">
        <v>1747</v>
      </c>
      <c r="T1018" s="165"/>
    </row>
    <row r="1019" spans="1:20">
      <c r="A1019" s="165" t="s">
        <v>1748</v>
      </c>
      <c r="B1019" s="59">
        <f>+B1018+1</f>
        <v>1011</v>
      </c>
      <c r="C1019" s="67">
        <v>121.8448</v>
      </c>
      <c r="D1019" s="92" t="str">
        <f>+A1019</f>
        <v>CT Scan, two areas without contrast</v>
      </c>
      <c r="E1019" s="161" t="s">
        <v>1749</v>
      </c>
      <c r="T1019" s="165"/>
    </row>
    <row r="1020" spans="1:20">
      <c r="A1020" s="165" t="s">
        <v>1750</v>
      </c>
      <c r="B1020" s="59">
        <f>+B1019+1</f>
        <v>1012</v>
      </c>
      <c r="C1020" s="67">
        <v>149.0423</v>
      </c>
      <c r="D1020" s="92" t="str">
        <f>+A1020</f>
        <v>CT Scan, two areas with contrast</v>
      </c>
      <c r="E1020" s="161" t="s">
        <v>1751</v>
      </c>
      <c r="T1020" s="165"/>
    </row>
    <row r="1021" spans="1:20">
      <c r="A1021" s="165" t="s">
        <v>1752</v>
      </c>
      <c r="B1021" s="59">
        <f>+B1020+1</f>
        <v>1013</v>
      </c>
      <c r="C1021" s="67">
        <v>159.9213</v>
      </c>
      <c r="D1021" s="92" t="str">
        <f>+A1021</f>
        <v>CT Scan, three areas with contrast</v>
      </c>
      <c r="E1021" s="161" t="s">
        <v>1753</v>
      </c>
      <c r="T1021" s="165"/>
    </row>
    <row r="1022" spans="1:20">
      <c r="A1022" s="165" t="s">
        <v>1754</v>
      </c>
      <c r="B1022" s="59">
        <f>+B1021+1</f>
        <v>1014</v>
      </c>
      <c r="C1022" s="67">
        <v>166.4487</v>
      </c>
      <c r="D1022" s="92" t="str">
        <f>+A1022</f>
        <v>CT Scan, more than three areas</v>
      </c>
      <c r="E1022" s="161" t="s">
        <v>1755</v>
      </c>
      <c r="T1022" s="165"/>
    </row>
    <row r="1023" spans="1:20">
      <c r="A1023" s="161" t="s">
        <v>1756</v>
      </c>
      <c r="B1023" s="59">
        <f>+B1022+1</f>
        <v>1015</v>
      </c>
      <c r="C1023" s="163">
        <v>161.262</v>
      </c>
      <c r="D1023" s="92" t="str">
        <f>+A1023</f>
        <v>CT Scan Chest-Abdomen-Pelvis (non-contrast)</v>
      </c>
      <c r="E1023" s="161"/>
      <c r="T1023" s="161"/>
    </row>
    <row r="1024" spans="1:20">
      <c r="A1024" s="161" t="s">
        <v>1757</v>
      </c>
      <c r="B1024" s="59">
        <f>+B1023+1</f>
        <v>1016</v>
      </c>
      <c r="C1024" s="163">
        <v>104.04</v>
      </c>
      <c r="D1024" s="92" t="str">
        <f>+A1024</f>
        <v>CT Scan Brain (inclusive of contrast)</v>
      </c>
      <c r="E1024" s="161"/>
      <c r="T1024" s="161"/>
    </row>
    <row r="1025" spans="1:20">
      <c r="A1025" s="161" t="s">
        <v>1758</v>
      </c>
      <c r="B1025" s="59">
        <f>+B1024+1</f>
        <v>1017</v>
      </c>
      <c r="C1025" s="163">
        <v>46.818</v>
      </c>
      <c r="D1025" s="92" t="str">
        <f>+A1025</f>
        <v>MRI Gadolinium Contrast Media where needed.</v>
      </c>
      <c r="E1025" s="161"/>
      <c r="T1025" s="161"/>
    </row>
    <row r="1026" spans="1:20">
      <c r="A1026" s="161" t="s">
        <v>1759</v>
      </c>
      <c r="B1026" s="59">
        <f>+B1025+1</f>
        <v>1018</v>
      </c>
      <c r="C1026" s="163">
        <v>11.4444</v>
      </c>
      <c r="D1026" s="92" t="str">
        <f>+A1026</f>
        <v>Duplicate sets of CT films (original data at time of scan)</v>
      </c>
      <c r="E1026" s="161"/>
      <c r="T1026" s="161"/>
    </row>
    <row r="1027" spans="1:20">
      <c r="A1027" s="161" t="s">
        <v>1760</v>
      </c>
      <c r="B1027" s="59">
        <f>+B1026+1</f>
        <v>1019</v>
      </c>
      <c r="C1027" s="163">
        <v>30.171599999999998</v>
      </c>
      <c r="D1027" s="92" t="str">
        <f>+A1027</f>
        <v>Duplicate sets of CT films (retrospective / blinded data) </v>
      </c>
      <c r="E1027" s="161"/>
      <c r="T1027" s="161"/>
    </row>
    <row r="1028" spans="1:20">
      <c r="A1028" s="161" t="s">
        <v>1761</v>
      </c>
      <c r="B1028" s="59">
        <f>+B1027+1</f>
        <v>1020</v>
      </c>
      <c r="C1028" s="163">
        <v>2.0808</v>
      </c>
      <c r="D1028" s="92" t="str">
        <f>+A1028</f>
        <v>additional films</v>
      </c>
      <c r="E1028" s="161"/>
      <c r="T1028" s="161"/>
    </row>
    <row r="1029" spans="1:20">
      <c r="A1029" s="161" t="s">
        <v>1762</v>
      </c>
      <c r="B1029" s="59">
        <f>+B1028+1</f>
        <v>1021</v>
      </c>
      <c r="C1029" s="163">
        <v>75.429</v>
      </c>
      <c r="D1029" s="92" t="str">
        <f>+A1029</f>
        <v>Out of Hours surcharge (MRI / CT) First 2 hours</v>
      </c>
      <c r="E1029" s="161"/>
      <c r="T1029" s="161"/>
    </row>
    <row r="1030" spans="1:20">
      <c r="A1030" s="161" t="s">
        <v>1763</v>
      </c>
      <c r="B1030" s="59">
        <f>+B1029+1</f>
        <v>1022</v>
      </c>
      <c r="C1030" s="163">
        <v>37.7145</v>
      </c>
      <c r="D1030" s="92" t="str">
        <f>+A1030</f>
        <v>Out of Hours surcharge (MRI / CT) add’n per hour</v>
      </c>
      <c r="E1030" s="161"/>
      <c r="T1030" s="161"/>
    </row>
    <row r="1031" spans="1:20">
      <c r="A1031" s="166" t="s">
        <v>1764</v>
      </c>
      <c r="B1031" s="59">
        <f>+B1030+1</f>
        <v>1023</v>
      </c>
      <c r="C1031" s="163">
        <v>18.862452</v>
      </c>
      <c r="D1031" s="92" t="str">
        <f>+A1031</f>
        <v>Out of Hours (Administration &amp; data collection) where additional Senior/ Radiographer time is required.Per person/hour</v>
      </c>
      <c r="E1031" s="166"/>
      <c r="T1031" s="166"/>
    </row>
    <row r="1032" spans="1:20">
      <c r="A1032" s="161" t="s">
        <v>1765</v>
      </c>
      <c r="B1032" s="59">
        <f>+B1031+1</f>
        <v>1024</v>
      </c>
      <c r="C1032" s="163">
        <v>4.6818</v>
      </c>
      <c r="D1032" s="92" t="str">
        <f>+A1032</f>
        <v>Copy Films (First film)</v>
      </c>
      <c r="E1032" s="161"/>
      <c r="T1032" s="161"/>
    </row>
    <row r="1033" spans="1:20">
      <c r="A1033" s="161" t="s">
        <v>1766</v>
      </c>
      <c r="B1033" s="59">
        <f>+B1032+1</f>
        <v>1025</v>
      </c>
      <c r="C1033" s="163">
        <v>2.0808</v>
      </c>
      <c r="D1033" s="92" t="str">
        <f>+A1033</f>
        <v>Copy Films (Second film and thereafter)</v>
      </c>
      <c r="E1033" s="161"/>
      <c r="T1033" s="161"/>
    </row>
    <row r="1034" spans="1:20" ht="15.5">
      <c r="A1034" s="161" t="s">
        <v>1767</v>
      </c>
      <c r="B1034" s="59">
        <f>+B1033+1</f>
        <v>1026</v>
      </c>
      <c r="C1034" s="163">
        <v>2.0808</v>
      </c>
      <c r="D1034" s="92" t="str">
        <f>+A1034</f>
        <v>Copy Films{Large quantities by special arrangement}</v>
      </c>
      <c r="E1034" s="161"/>
      <c r="T1034" s="161"/>
    </row>
    <row r="1035" spans="1:20" ht="13">
      <c r="A1035" s="161" t="s">
        <v>1768</v>
      </c>
      <c r="B1035" s="59">
        <f>+B1034+1</f>
        <v>1027</v>
      </c>
      <c r="C1035" s="163">
        <v>26.01</v>
      </c>
      <c r="D1035" s="92" t="str">
        <f>+A1035</f>
        <v>Cost of 5.25” M-Optical RW Discs if not supplied. </v>
      </c>
      <c r="E1035" s="161"/>
      <c r="T1035" s="161"/>
    </row>
    <row r="1036" spans="1:20">
      <c r="A1036" s="161" t="s">
        <v>1769</v>
      </c>
      <c r="B1036" s="59">
        <f>+B1035+1</f>
        <v>1028</v>
      </c>
      <c r="C1036" s="163">
        <v>3.1212</v>
      </c>
      <c r="D1036" s="92" t="str">
        <f>+A1036</f>
        <v>Cost of suitable data quality CD/R’s if not supplied. Each</v>
      </c>
      <c r="E1036" s="161"/>
      <c r="T1036" s="161"/>
    </row>
    <row r="1037" spans="1:20">
      <c r="A1037" s="161" t="s">
        <v>1770</v>
      </c>
      <c r="B1037" s="59">
        <f>+B1036+1</f>
        <v>1029</v>
      </c>
      <c r="C1037" s="163">
        <v>15.606</v>
      </c>
      <c r="D1037" s="92" t="str">
        <f>+A1037</f>
        <v>Cost of DAT tapes if not supplied. Each</v>
      </c>
      <c r="E1037" s="161"/>
      <c r="T1037" s="161"/>
    </row>
    <row r="1038" spans="1:20">
      <c r="A1038" s="161" t="s">
        <v>1771</v>
      </c>
      <c r="B1038" s="59">
        <f>+B1037+1</f>
        <v>1030</v>
      </c>
      <c r="C1038" s="67">
        <v>462</v>
      </c>
      <c r="D1038" s="92" t="str">
        <f>+A1038</f>
        <v>MRI Spectroscopy one area</v>
      </c>
      <c r="E1038" s="161"/>
      <c r="H1038" s="79"/>
      <c r="T1038" s="161"/>
    </row>
    <row r="1039" spans="1:20">
      <c r="A1039" s="161" t="s">
        <v>1772</v>
      </c>
      <c r="B1039" s="59">
        <f>+B1038+1</f>
        <v>1031</v>
      </c>
      <c r="C1039" s="67">
        <v>506</v>
      </c>
      <c r="D1039" s="92" t="str">
        <f>+A1039</f>
        <v>MRI Spectroscopy two areas</v>
      </c>
      <c r="E1039" s="161"/>
      <c r="H1039" s="79"/>
      <c r="T1039" s="161"/>
    </row>
    <row r="1040" spans="1:20">
      <c r="A1040" s="161" t="s">
        <v>1773</v>
      </c>
      <c r="B1040" s="59">
        <f>+B1039+1</f>
        <v>1032</v>
      </c>
      <c r="C1040" s="67">
        <v>550</v>
      </c>
      <c r="D1040" s="92" t="str">
        <f>+A1040</f>
        <v>MRI Spectroscopy three areas</v>
      </c>
      <c r="E1040" s="161"/>
      <c r="H1040" s="79"/>
      <c r="T1040" s="161"/>
    </row>
    <row r="1041" spans="1:20">
      <c r="A1041" s="161" t="s">
        <v>1774</v>
      </c>
      <c r="B1041" s="59">
        <f>+B1040+1</f>
        <v>1033</v>
      </c>
      <c r="C1041" s="67">
        <v>33</v>
      </c>
      <c r="D1041" s="92" t="str">
        <f>+A1041</f>
        <v>Film skeletal study</v>
      </c>
      <c r="E1041" s="161"/>
      <c r="T1041" s="161"/>
    </row>
    <row r="1042" spans="1:20">
      <c r="A1042" s="161" t="s">
        <v>1775</v>
      </c>
      <c r="B1042" s="59">
        <f>+B1041+1</f>
        <v>1034</v>
      </c>
      <c r="C1042" s="67">
        <v>700</v>
      </c>
      <c r="D1042" s="92" t="str">
        <f>+A1042</f>
        <v>PET Scans - Portsmouuth</v>
      </c>
      <c r="E1042" s="161"/>
      <c r="T1042" s="161"/>
    </row>
    <row r="1043" spans="1:20">
      <c r="A1043" s="161" t="s">
        <v>1776</v>
      </c>
      <c r="B1043" s="59">
        <f>+B1042+1</f>
        <v>1035</v>
      </c>
      <c r="C1043" s="67">
        <v>33</v>
      </c>
      <c r="D1043" s="92" t="str">
        <f>+A1043</f>
        <v>Mammogram</v>
      </c>
      <c r="E1043" s="161"/>
      <c r="T1043" s="161"/>
    </row>
    <row r="1044" spans="1:20">
      <c r="A1044" s="161" t="s">
        <v>1777</v>
      </c>
      <c r="B1044" s="59">
        <f>+B1043+1</f>
        <v>1036</v>
      </c>
      <c r="C1044" s="67">
        <v>77</v>
      </c>
      <c r="D1044" s="92" t="str">
        <f>+A1044</f>
        <v>Barium Study</v>
      </c>
      <c r="E1044" s="161"/>
      <c r="T1044" s="161"/>
    </row>
    <row r="1045" spans="1:20">
      <c r="A1045" s="161" t="s">
        <v>1778</v>
      </c>
      <c r="B1045" s="59">
        <f>+B1044+1</f>
        <v>1037</v>
      </c>
      <c r="C1045" s="67">
        <v>8.25</v>
      </c>
      <c r="D1045" s="92" t="str">
        <f>+A1045</f>
        <v>Film copy</v>
      </c>
      <c r="E1045" s="161"/>
      <c r="T1045" s="161"/>
    </row>
    <row r="1046" spans="1:20">
      <c r="A1046" s="161" t="s">
        <v>1779</v>
      </c>
      <c r="B1046" s="59">
        <f>+B1045+1</f>
        <v>1038</v>
      </c>
      <c r="C1046" s="67">
        <v>26.4</v>
      </c>
      <c r="D1046" s="92" t="str">
        <f>+A1046</f>
        <v>CT Contrast Cost</v>
      </c>
      <c r="E1046" s="161"/>
      <c r="T1046" s="161"/>
    </row>
    <row r="1047" spans="1:20">
      <c r="A1047" s="161" t="s">
        <v>1780</v>
      </c>
      <c r="B1047" s="59">
        <f>+B1046+1</f>
        <v>1039</v>
      </c>
      <c r="C1047" s="67">
        <v>55</v>
      </c>
      <c r="D1047" s="92" t="str">
        <f>+A1047</f>
        <v>MRI Contrast cost</v>
      </c>
      <c r="E1047" s="161"/>
      <c r="T1047" s="161"/>
    </row>
    <row r="1048" spans="1:20">
      <c r="A1048" s="161" t="s">
        <v>1781</v>
      </c>
      <c r="B1048" s="59">
        <f>+B1047+1</f>
        <v>1040</v>
      </c>
      <c r="C1048" s="67">
        <v>110</v>
      </c>
      <c r="D1048" s="92" t="str">
        <f>+A1048</f>
        <v>MRI Spectroscopy</v>
      </c>
      <c r="E1048" s="161"/>
      <c r="T1048" s="161"/>
    </row>
    <row r="1049" spans="1:20" ht="13">
      <c r="A1049" s="167" t="s">
        <v>1782</v>
      </c>
      <c r="B1049" s="59">
        <f>+B1048+1</f>
        <v>1041</v>
      </c>
      <c r="C1049" s="67">
        <v>0</v>
      </c>
      <c r="D1049" s="92" t="str">
        <f>+A1049</f>
        <v>Outpatients_FirstAttendance_Single_Professional</v>
      </c>
      <c r="E1049" s="168"/>
      <c r="T1049" s="167"/>
    </row>
    <row r="1050" spans="1:20">
      <c r="A1050" s="169" t="s">
        <v>1783</v>
      </c>
      <c r="B1050" s="59">
        <f>+B1049+1</f>
        <v>1042</v>
      </c>
      <c r="C1050" s="67">
        <v>97.43</v>
      </c>
      <c r="D1050" s="92" t="str">
        <f>+A1050</f>
        <v>Outpatients 1st Att C.L. A &amp; E</v>
      </c>
      <c r="E1050" s="169" t="s">
        <v>1784</v>
      </c>
      <c r="T1050" s="169"/>
    </row>
    <row r="1051" spans="1:20">
      <c r="A1051" s="169" t="s">
        <v>1785</v>
      </c>
      <c r="B1051" s="59">
        <f>+B1050+1</f>
        <v>1043</v>
      </c>
      <c r="C1051" s="67">
        <v>178</v>
      </c>
      <c r="D1051" s="92" t="str">
        <f>+A1051</f>
        <v>Outpatients 1st Att S.P. Cancer</v>
      </c>
      <c r="E1051" s="169" t="s">
        <v>1784</v>
      </c>
      <c r="T1051" s="169"/>
    </row>
    <row r="1052" spans="1:20">
      <c r="A1052" s="169" t="s">
        <v>1786</v>
      </c>
      <c r="B1052" s="59">
        <f>+B1051+1</f>
        <v>1044</v>
      </c>
      <c r="C1052" s="67">
        <v>189</v>
      </c>
      <c r="D1052" s="92" t="str">
        <f>+A1052</f>
        <v>Outpatients 1st Att S.P. Cardiology</v>
      </c>
      <c r="E1052" s="169" t="s">
        <v>1784</v>
      </c>
      <c r="T1052" s="169"/>
    </row>
    <row r="1053" spans="1:20">
      <c r="A1053" s="169" t="s">
        <v>1787</v>
      </c>
      <c r="B1053" s="59">
        <f>+B1052+1</f>
        <v>1045</v>
      </c>
      <c r="C1053" s="67">
        <v>108</v>
      </c>
      <c r="D1053" s="92" t="str">
        <f>+A1053</f>
        <v>Outpatients 1st Att S.P. Ear, Nose &amp; Throat</v>
      </c>
      <c r="E1053" s="169" t="s">
        <v>1784</v>
      </c>
      <c r="T1053" s="169"/>
    </row>
    <row r="1054" spans="1:20">
      <c r="A1054" s="169" t="s">
        <v>1788</v>
      </c>
      <c r="B1054" s="59">
        <f>+B1053+1</f>
        <v>1046</v>
      </c>
      <c r="C1054" s="67">
        <v>148.25</v>
      </c>
      <c r="D1054" s="92" t="str">
        <f>+A1054</f>
        <v>Outpatients 1st Att S.P. Gynaecology</v>
      </c>
      <c r="E1054" s="169" t="s">
        <v>1784</v>
      </c>
      <c r="T1054" s="169"/>
    </row>
    <row r="1055" spans="1:20">
      <c r="A1055" s="169" t="s">
        <v>1789</v>
      </c>
      <c r="B1055" s="59">
        <f>+B1054+1</f>
        <v>1047</v>
      </c>
      <c r="C1055" s="67">
        <v>386.05</v>
      </c>
      <c r="D1055" s="92" t="str">
        <f>+A1055</f>
        <v>Outpatients 1st Att C.L. Medicine </v>
      </c>
      <c r="E1055" s="169" t="s">
        <v>1784</v>
      </c>
      <c r="T1055" s="169"/>
    </row>
    <row r="1056" spans="1:20">
      <c r="A1056" s="169" t="s">
        <v>1790</v>
      </c>
      <c r="B1056" s="59">
        <f>+B1055+1</f>
        <v>1048</v>
      </c>
      <c r="C1056" s="67">
        <v>211.75</v>
      </c>
      <c r="D1056" s="92" t="str">
        <f>+A1056</f>
        <v>Outpatients 1st Att S.P. Medicine </v>
      </c>
      <c r="E1056" s="169" t="s">
        <v>1784</v>
      </c>
      <c r="T1056" s="169"/>
    </row>
    <row r="1057" spans="1:20">
      <c r="A1057" s="169" t="s">
        <v>1791</v>
      </c>
      <c r="B1057" s="59">
        <f>+B1056+1</f>
        <v>1049</v>
      </c>
      <c r="C1057" s="67">
        <v>246.54</v>
      </c>
      <c r="D1057" s="92" t="str">
        <f>+A1057</f>
        <v>Outpatients 1st Att C.L. Neurology</v>
      </c>
      <c r="E1057" s="169" t="s">
        <v>1784</v>
      </c>
      <c r="T1057" s="169"/>
    </row>
    <row r="1058" spans="1:20">
      <c r="A1058" s="169" t="s">
        <v>1792</v>
      </c>
      <c r="B1058" s="59">
        <f>+B1057+1</f>
        <v>1050</v>
      </c>
      <c r="C1058" s="67">
        <v>110</v>
      </c>
      <c r="D1058" s="92" t="str">
        <f>+A1058</f>
        <v>Outpatients 1st Att S.P. Ophthalmology </v>
      </c>
      <c r="E1058" s="169" t="s">
        <v>1784</v>
      </c>
      <c r="T1058" s="169"/>
    </row>
    <row r="1059" spans="1:20">
      <c r="A1059" s="169" t="s">
        <v>1793</v>
      </c>
      <c r="B1059" s="59">
        <f>+B1058+1</f>
        <v>1051</v>
      </c>
      <c r="C1059" s="67">
        <v>180</v>
      </c>
      <c r="D1059" s="92" t="str">
        <f>+A1059</f>
        <v>Outpatients 1st Att S.P. Orthodontics </v>
      </c>
      <c r="E1059" s="169" t="s">
        <v>1784</v>
      </c>
      <c r="T1059" s="169"/>
    </row>
    <row r="1060" spans="1:20">
      <c r="A1060" s="169" t="s">
        <v>1794</v>
      </c>
      <c r="B1060" s="59">
        <f>+B1059+1</f>
        <v>1052</v>
      </c>
      <c r="C1060" s="67">
        <v>230.36</v>
      </c>
      <c r="D1060" s="92" t="str">
        <f>+A1060</f>
        <v>Outpatients 1st Att S.P. Paediatric</v>
      </c>
      <c r="E1060" s="169" t="s">
        <v>1784</v>
      </c>
      <c r="T1060" s="169"/>
    </row>
    <row r="1061" spans="1:20">
      <c r="A1061" s="169" t="s">
        <v>1795</v>
      </c>
      <c r="B1061" s="59">
        <f>+B1060+1</f>
        <v>1053</v>
      </c>
      <c r="C1061" s="67">
        <v>277.97</v>
      </c>
      <c r="D1061" s="92" t="str">
        <f>+A1061</f>
        <v>Outpatients 1st Att C.L. Paediatric</v>
      </c>
      <c r="E1061" s="169" t="s">
        <v>1784</v>
      </c>
      <c r="T1061" s="169"/>
    </row>
    <row r="1062" spans="1:20">
      <c r="A1062" s="169" t="s">
        <v>1796</v>
      </c>
      <c r="B1062" s="59">
        <f>+B1061+1</f>
        <v>1054</v>
      </c>
      <c r="C1062" s="67">
        <v>227.82</v>
      </c>
      <c r="D1062" s="92" t="str">
        <f>+A1062</f>
        <v>Outpatients 1st Att C.L. Surgery</v>
      </c>
      <c r="E1062" s="169" t="s">
        <v>1784</v>
      </c>
      <c r="T1062" s="169"/>
    </row>
    <row r="1063" spans="1:20">
      <c r="A1063" s="169" t="s">
        <v>1797</v>
      </c>
      <c r="B1063" s="59">
        <f>+B1062+1</f>
        <v>1055</v>
      </c>
      <c r="C1063" s="67">
        <v>142.07</v>
      </c>
      <c r="D1063" s="92" t="str">
        <f>+A1063</f>
        <v>Outpatients 1st Att S.P. Surgery</v>
      </c>
      <c r="E1063" s="169" t="s">
        <v>1784</v>
      </c>
      <c r="T1063" s="169"/>
    </row>
    <row r="1064" spans="1:20">
      <c r="A1064" s="169" t="s">
        <v>1798</v>
      </c>
      <c r="B1064" s="59">
        <f>+B1063+1</f>
        <v>1056</v>
      </c>
      <c r="C1064" s="67">
        <v>135</v>
      </c>
      <c r="D1064" s="92" t="str">
        <f>+A1064</f>
        <v>Outpatients 1st Att S.P.T &amp; O</v>
      </c>
      <c r="E1064" s="169" t="s">
        <v>1784</v>
      </c>
      <c r="T1064" s="169"/>
    </row>
    <row r="1065" spans="1:20" ht="13">
      <c r="A1065" s="167" t="s">
        <v>1799</v>
      </c>
      <c r="B1065" s="59">
        <f>+B1064+1</f>
        <v>1057</v>
      </c>
      <c r="C1065" s="67">
        <v>0</v>
      </c>
      <c r="D1065" s="92" t="str">
        <f>+A1065</f>
        <v>Outpatients_FollowUp_Single_Professional</v>
      </c>
      <c r="E1065" s="168"/>
      <c r="T1065" s="167"/>
    </row>
    <row r="1066" spans="1:20">
      <c r="A1066" s="170" t="s">
        <v>1800</v>
      </c>
      <c r="B1066" s="59">
        <f>+B1065+1</f>
        <v>1058</v>
      </c>
      <c r="C1066" s="171">
        <v>68.5</v>
      </c>
      <c r="D1066" s="92" t="str">
        <f>+A1066</f>
        <v>Outpatients F/up C.L. A &amp; E</v>
      </c>
      <c r="E1066" s="170" t="s">
        <v>1801</v>
      </c>
      <c r="T1066" s="170"/>
    </row>
    <row r="1067" spans="1:20">
      <c r="A1067" s="170" t="s">
        <v>1802</v>
      </c>
      <c r="B1067" s="59">
        <f>+B1066+1</f>
        <v>1059</v>
      </c>
      <c r="C1067" s="171">
        <v>69</v>
      </c>
      <c r="D1067" s="92" t="str">
        <f>+A1067</f>
        <v>Outpatients F/up S.P. Cancer</v>
      </c>
      <c r="E1067" s="170" t="s">
        <v>1801</v>
      </c>
      <c r="T1067" s="170"/>
    </row>
    <row r="1068" spans="1:20">
      <c r="A1068" s="170" t="s">
        <v>1803</v>
      </c>
      <c r="B1068" s="59">
        <f>+B1067+1</f>
        <v>1060</v>
      </c>
      <c r="C1068" s="171">
        <v>91</v>
      </c>
      <c r="D1068" s="92" t="str">
        <f>+A1068</f>
        <v>Outpatients F/up S.P. Cardiology</v>
      </c>
      <c r="E1068" s="170" t="s">
        <v>1801</v>
      </c>
      <c r="T1068" s="170"/>
    </row>
    <row r="1069" spans="1:20">
      <c r="A1069" s="170" t="s">
        <v>1804</v>
      </c>
      <c r="B1069" s="59">
        <f>+B1068+1</f>
        <v>1061</v>
      </c>
      <c r="C1069" s="171">
        <v>57</v>
      </c>
      <c r="D1069" s="92" t="str">
        <f>+A1069</f>
        <v>Outpatients F/up S.P. Ear, Nose &amp; Throat</v>
      </c>
      <c r="E1069" s="170" t="s">
        <v>1801</v>
      </c>
      <c r="T1069" s="170"/>
    </row>
    <row r="1070" spans="1:20">
      <c r="A1070" s="170" t="s">
        <v>1805</v>
      </c>
      <c r="B1070" s="59">
        <f>+B1069+1</f>
        <v>1062</v>
      </c>
      <c r="C1070" s="171">
        <v>71.75</v>
      </c>
      <c r="D1070" s="92" t="str">
        <f>+A1070</f>
        <v>Outpatients F/up S.P. Gynaecology</v>
      </c>
      <c r="E1070" s="170" t="s">
        <v>1801</v>
      </c>
      <c r="T1070" s="170"/>
    </row>
    <row r="1071" spans="1:20">
      <c r="A1071" s="170" t="s">
        <v>1806</v>
      </c>
      <c r="B1071" s="59">
        <f>+B1070+1</f>
        <v>1063</v>
      </c>
      <c r="C1071" s="171">
        <v>346.31</v>
      </c>
      <c r="D1071" s="92" t="str">
        <f>+A1071</f>
        <v>Outpatients F/up C.L. Medicine </v>
      </c>
      <c r="E1071" s="170" t="s">
        <v>1801</v>
      </c>
      <c r="T1071" s="170"/>
    </row>
    <row r="1072" spans="1:20">
      <c r="A1072" s="170" t="s">
        <v>1807</v>
      </c>
      <c r="B1072" s="59">
        <f>+B1071+1</f>
        <v>1064</v>
      </c>
      <c r="C1072" s="171">
        <v>95</v>
      </c>
      <c r="D1072" s="92" t="str">
        <f>+A1072</f>
        <v>Outpatients F/up S.P. Medicine </v>
      </c>
      <c r="E1072" s="170" t="s">
        <v>1801</v>
      </c>
      <c r="T1072" s="170"/>
    </row>
    <row r="1073" spans="1:20">
      <c r="A1073" s="170" t="s">
        <v>1808</v>
      </c>
      <c r="B1073" s="59">
        <f>+B1072+1</f>
        <v>1065</v>
      </c>
      <c r="C1073" s="171">
        <v>130.86</v>
      </c>
      <c r="D1073" s="92" t="str">
        <f>+A1073</f>
        <v>Outpatients F/up C.L. Neurology</v>
      </c>
      <c r="E1073" s="170" t="s">
        <v>1801</v>
      </c>
      <c r="T1073" s="170"/>
    </row>
    <row r="1074" spans="1:20">
      <c r="A1074" s="170" t="s">
        <v>1809</v>
      </c>
      <c r="B1074" s="59">
        <f>+B1073+1</f>
        <v>1066</v>
      </c>
      <c r="C1074" s="171">
        <v>53</v>
      </c>
      <c r="D1074" s="92" t="str">
        <f>+A1074</f>
        <v>Outpatients F/up S.P. Ophthalmology </v>
      </c>
      <c r="E1074" s="170" t="s">
        <v>1801</v>
      </c>
      <c r="T1074" s="170"/>
    </row>
    <row r="1075" spans="1:20">
      <c r="A1075" s="170" t="s">
        <v>1810</v>
      </c>
      <c r="B1075" s="59">
        <f>+B1074+1</f>
        <v>1067</v>
      </c>
      <c r="C1075" s="171">
        <v>82</v>
      </c>
      <c r="D1075" s="92" t="str">
        <f>+A1075</f>
        <v>Outpatients F/up S.P. Orthodontics </v>
      </c>
      <c r="E1075" s="170" t="s">
        <v>1801</v>
      </c>
      <c r="T1075" s="170"/>
    </row>
    <row r="1076" spans="1:20">
      <c r="A1076" s="170" t="s">
        <v>1811</v>
      </c>
      <c r="B1076" s="59">
        <f>+B1075+1</f>
        <v>1068</v>
      </c>
      <c r="C1076" s="171">
        <v>123.73</v>
      </c>
      <c r="D1076" s="92" t="str">
        <f>+A1076</f>
        <v>Outpatients F/up S.P. Paediatric</v>
      </c>
      <c r="E1076" s="170" t="s">
        <v>1801</v>
      </c>
      <c r="T1076" s="170"/>
    </row>
    <row r="1077" spans="1:20">
      <c r="A1077" s="170" t="s">
        <v>1812</v>
      </c>
      <c r="B1077" s="59">
        <f>+B1076+1</f>
        <v>1069</v>
      </c>
      <c r="C1077" s="171">
        <v>236.97</v>
      </c>
      <c r="D1077" s="92" t="str">
        <f>+A1077</f>
        <v>Outpatients F/up C.L. Paediatric</v>
      </c>
      <c r="E1077" s="170" t="s">
        <v>1801</v>
      </c>
      <c r="T1077" s="170"/>
    </row>
    <row r="1078" spans="1:20">
      <c r="A1078" s="170" t="s">
        <v>1813</v>
      </c>
      <c r="B1078" s="59">
        <f>+B1077+1</f>
        <v>1070</v>
      </c>
      <c r="C1078" s="171">
        <v>142.43</v>
      </c>
      <c r="D1078" s="92" t="str">
        <f>+A1078</f>
        <v>Outpatients F/up C.L. Surgery</v>
      </c>
      <c r="E1078" s="170" t="s">
        <v>1801</v>
      </c>
      <c r="T1078" s="170"/>
    </row>
    <row r="1079" spans="1:20">
      <c r="A1079" s="170" t="s">
        <v>1814</v>
      </c>
      <c r="B1079" s="59">
        <f>+B1078+1</f>
        <v>1071</v>
      </c>
      <c r="C1079" s="171">
        <v>77.93</v>
      </c>
      <c r="D1079" s="92" t="str">
        <f>+A1079</f>
        <v>Outpatients F/up up S.P. Surgery</v>
      </c>
      <c r="E1079" s="170" t="s">
        <v>1801</v>
      </c>
      <c r="T1079" s="170"/>
    </row>
    <row r="1080" spans="1:20">
      <c r="A1080" s="170" t="s">
        <v>1815</v>
      </c>
      <c r="B1080" s="59">
        <f>+B1079+1</f>
        <v>1072</v>
      </c>
      <c r="C1080" s="171">
        <v>74</v>
      </c>
      <c r="D1080" s="92" t="str">
        <f>+A1080</f>
        <v>Outpatients F/up S.P.T &amp; O</v>
      </c>
      <c r="E1080" s="170" t="s">
        <v>1801</v>
      </c>
      <c r="T1080" s="170"/>
    </row>
    <row r="1081" spans="1:20">
      <c r="A1081" s="172" t="s">
        <v>1816</v>
      </c>
      <c r="B1081" s="59">
        <f>+B1080+1</f>
        <v>1073</v>
      </c>
      <c r="C1081" s="173">
        <v>0</v>
      </c>
      <c r="D1081" s="92" t="str">
        <f>+A1081</f>
        <v>Osteoporosis Centre</v>
      </c>
      <c r="E1081" s="170"/>
      <c r="T1081" s="170"/>
    </row>
    <row r="1082" spans="1:20">
      <c r="A1082" s="174" t="s">
        <v>239</v>
      </c>
      <c r="B1082" s="59">
        <f>+B1081+1</f>
        <v>1074</v>
      </c>
      <c r="C1082" s="173">
        <v>72</v>
      </c>
      <c r="D1082" s="92" t="str">
        <f>+A1082</f>
        <v>DEXA</v>
      </c>
      <c r="E1082" s="170"/>
      <c r="T1082" s="170"/>
    </row>
    <row r="1083" spans="1:20">
      <c r="A1083" s="174" t="s">
        <v>1817</v>
      </c>
      <c r="B1083" s="59">
        <f>+B1082+1</f>
        <v>1075</v>
      </c>
      <c r="C1083" s="173">
        <v>50</v>
      </c>
      <c r="D1083" s="92" t="str">
        <f>+A1083</f>
        <v>Pqct Scan</v>
      </c>
      <c r="E1083" s="170"/>
      <c r="T1083" s="170"/>
    </row>
    <row r="1084" spans="1:20" ht="13">
      <c r="A1084" s="175" t="s">
        <v>1818</v>
      </c>
      <c r="B1084" s="59">
        <f>+B1083+1</f>
        <v>1076</v>
      </c>
      <c r="C1084" s="67">
        <v>0</v>
      </c>
      <c r="D1084" s="92" t="str">
        <f>+A1084</f>
        <v>Nuclear Medicine </v>
      </c>
      <c r="E1084" s="90"/>
      <c r="T1084" s="175"/>
    </row>
    <row r="1085" spans="1:20" ht="13">
      <c r="A1085" s="176" t="s">
        <v>1819</v>
      </c>
      <c r="B1085" s="59">
        <f>+B1084+1</f>
        <v>1077</v>
      </c>
      <c r="C1085" s="177">
        <v>246</v>
      </c>
      <c r="D1085" s="92" t="str">
        <f>+A1085</f>
        <v>Bone Whole Body</v>
      </c>
      <c r="E1085" s="175" t="s">
        <v>1820</v>
      </c>
      <c r="T1085" s="176"/>
    </row>
    <row r="1086" spans="1:20" ht="13">
      <c r="A1086" s="176" t="s">
        <v>1821</v>
      </c>
      <c r="B1086" s="59">
        <f>+B1085+1</f>
        <v>1078</v>
      </c>
      <c r="C1086" s="177">
        <v>246</v>
      </c>
      <c r="D1086" s="92" t="str">
        <f>+A1086</f>
        <v>Bone Dynamic</v>
      </c>
      <c r="E1086" s="175" t="s">
        <v>1822</v>
      </c>
      <c r="T1086" s="176"/>
    </row>
    <row r="1087" spans="1:20" ht="13">
      <c r="A1087" s="176" t="s">
        <v>1823</v>
      </c>
      <c r="B1087" s="59">
        <f>+B1086+1</f>
        <v>1079</v>
      </c>
      <c r="C1087" s="177">
        <v>359</v>
      </c>
      <c r="D1087" s="92" t="str">
        <f>+A1087</f>
        <v>Brain HMPAO</v>
      </c>
      <c r="E1087" s="175" t="s">
        <v>1824</v>
      </c>
      <c r="T1087" s="176"/>
    </row>
    <row r="1088" spans="1:20" ht="13">
      <c r="A1088" s="176" t="s">
        <v>1825</v>
      </c>
      <c r="B1088" s="59">
        <f>+B1087+1</f>
        <v>1080</v>
      </c>
      <c r="C1088" s="177">
        <v>749</v>
      </c>
      <c r="D1088" s="92" t="str">
        <f>+A1088</f>
        <v>Brain DAT</v>
      </c>
      <c r="E1088" s="175" t="s">
        <v>1826</v>
      </c>
      <c r="T1088" s="176"/>
    </row>
    <row r="1089" spans="1:20" ht="13">
      <c r="A1089" s="176" t="s">
        <v>1827</v>
      </c>
      <c r="B1089" s="59">
        <f>+B1088+1</f>
        <v>1081</v>
      </c>
      <c r="C1089" s="177">
        <v>321</v>
      </c>
      <c r="D1089" s="92" t="str">
        <f>+A1089</f>
        <v>Cardiac scan</v>
      </c>
      <c r="E1089" s="175" t="s">
        <v>1828</v>
      </c>
      <c r="T1089" s="176"/>
    </row>
    <row r="1090" spans="1:20">
      <c r="A1090" s="176" t="s">
        <v>1829</v>
      </c>
      <c r="B1090" s="59">
        <f>+B1089+1</f>
        <v>1082</v>
      </c>
      <c r="C1090" s="177">
        <v>288</v>
      </c>
      <c r="D1090" s="92" t="str">
        <f>+A1090</f>
        <v>DMSA</v>
      </c>
      <c r="E1090" s="127"/>
      <c r="T1090" s="176"/>
    </row>
    <row r="1091" spans="1:20">
      <c r="A1091" s="176" t="s">
        <v>1830</v>
      </c>
      <c r="B1091" s="59">
        <f>+B1090+1</f>
        <v>1083</v>
      </c>
      <c r="C1091" s="177">
        <v>374</v>
      </c>
      <c r="D1091" s="92" t="str">
        <f>+A1091</f>
        <v>Gastric Emptying</v>
      </c>
      <c r="E1091" s="127"/>
      <c r="T1091" s="176"/>
    </row>
    <row r="1092" spans="1:20">
      <c r="A1092" s="176" t="s">
        <v>1831</v>
      </c>
      <c r="B1092" s="59">
        <f>+B1091+1</f>
        <v>1084</v>
      </c>
      <c r="C1092" s="177">
        <v>324</v>
      </c>
      <c r="D1092" s="92" t="str">
        <f>+A1092</f>
        <v>Lung scan</v>
      </c>
      <c r="E1092" s="127"/>
      <c r="T1092" s="176"/>
    </row>
    <row r="1093" spans="1:20">
      <c r="A1093" s="176" t="s">
        <v>1832</v>
      </c>
      <c r="B1093" s="59">
        <f>+B1092+1</f>
        <v>1085</v>
      </c>
      <c r="C1093" s="177">
        <v>418</v>
      </c>
      <c r="D1093" s="92" t="str">
        <f>+A1093</f>
        <v>Lymph scan</v>
      </c>
      <c r="E1093" s="127"/>
      <c r="T1093" s="176"/>
    </row>
    <row r="1094" spans="1:20">
      <c r="A1094" s="176" t="s">
        <v>1833</v>
      </c>
      <c r="B1094" s="59">
        <f>+B1093+1</f>
        <v>1086</v>
      </c>
      <c r="C1094" s="177">
        <v>349</v>
      </c>
      <c r="D1094" s="92" t="str">
        <f>+A1094</f>
        <v>MAG-3</v>
      </c>
      <c r="E1094" s="127"/>
      <c r="T1094" s="176"/>
    </row>
    <row r="1095" spans="1:20">
      <c r="A1095" s="176" t="s">
        <v>1834</v>
      </c>
      <c r="B1095" s="59">
        <f>+B1094+1</f>
        <v>1087</v>
      </c>
      <c r="C1095" s="177">
        <v>1688</v>
      </c>
      <c r="D1095" s="92" t="str">
        <f>+A1095</f>
        <v>Octreotide</v>
      </c>
      <c r="E1095" s="127"/>
      <c r="T1095" s="176"/>
    </row>
    <row r="1096" spans="1:20">
      <c r="A1096" s="176" t="s">
        <v>1835</v>
      </c>
      <c r="B1096" s="59">
        <f>+B1095+1</f>
        <v>1088</v>
      </c>
      <c r="C1096" s="177">
        <v>615</v>
      </c>
      <c r="D1096" s="92" t="str">
        <f>+A1096</f>
        <v>SeHCAT</v>
      </c>
      <c r="E1096" s="127"/>
      <c r="T1096" s="176"/>
    </row>
    <row r="1097" spans="1:20">
      <c r="A1097" s="176" t="s">
        <v>1836</v>
      </c>
      <c r="B1097" s="59">
        <f>+B1096+1</f>
        <v>1089</v>
      </c>
      <c r="C1097" s="177">
        <v>202</v>
      </c>
      <c r="D1097" s="92" t="str">
        <f>+A1097</f>
        <v>Thyroid scan </v>
      </c>
      <c r="E1097" s="127"/>
      <c r="T1097" s="176"/>
    </row>
    <row r="1098" spans="1:20">
      <c r="A1098" s="176" t="s">
        <v>1837</v>
      </c>
      <c r="B1098" s="59">
        <f>+B1097+1</f>
        <v>1090</v>
      </c>
      <c r="C1098" s="177">
        <v>394</v>
      </c>
      <c r="D1098" s="92" t="str">
        <f>+A1098</f>
        <v>Thyroid therapy</v>
      </c>
      <c r="E1098" s="127"/>
      <c r="T1098" s="176"/>
    </row>
    <row r="1099" spans="1:20">
      <c r="A1099" s="176" t="s">
        <v>1838</v>
      </c>
      <c r="B1099" s="59">
        <f>+B1098+1</f>
        <v>1091</v>
      </c>
      <c r="C1099" s="177">
        <v>835</v>
      </c>
      <c r="D1099" s="92" t="str">
        <f>+A1099</f>
        <v>White cell scan</v>
      </c>
      <c r="E1099" s="127"/>
      <c r="T1099" s="176"/>
    </row>
    <row r="1100" spans="1:20">
      <c r="A1100" s="176" t="s">
        <v>1839</v>
      </c>
      <c r="B1100" s="59">
        <f>+B1099+1</f>
        <v>1092</v>
      </c>
      <c r="C1100" s="177">
        <v>305</v>
      </c>
      <c r="D1100" s="92" t="str">
        <f>+A1100</f>
        <v>Sentinel Imaging external</v>
      </c>
      <c r="E1100" s="127"/>
      <c r="T1100" s="176"/>
    </row>
    <row r="1101" spans="1:20">
      <c r="A1101" s="176" t="s">
        <v>1840</v>
      </c>
      <c r="B1101" s="59">
        <f>+B1100+1</f>
        <v>1093</v>
      </c>
      <c r="C1101" s="177">
        <v>230</v>
      </c>
      <c r="D1101" s="92" t="str">
        <f>+A1101</f>
        <v>Sentinel SUHT imaging</v>
      </c>
      <c r="E1101" s="127"/>
      <c r="T1101" s="176"/>
    </row>
    <row r="1102" spans="1:20">
      <c r="A1102" s="176" t="s">
        <v>1841</v>
      </c>
      <c r="B1102" s="59">
        <f>+B1101+1</f>
        <v>1094</v>
      </c>
      <c r="C1102" s="177">
        <v>127</v>
      </c>
      <c r="D1102" s="92" t="str">
        <f>+A1102</f>
        <v>Sentinel SUHT injection/probe</v>
      </c>
      <c r="E1102" s="127"/>
      <c r="T1102" s="176"/>
    </row>
    <row r="1103" spans="1:20">
      <c r="A1103" s="176" t="s">
        <v>1842</v>
      </c>
      <c r="B1103" s="59">
        <f>+B1102+1</f>
        <v>1095</v>
      </c>
      <c r="C1103" s="177">
        <v>414</v>
      </c>
      <c r="D1103" s="92" t="str">
        <f>+A1103</f>
        <v>Parathyroid</v>
      </c>
      <c r="E1103" s="127"/>
      <c r="T1103" s="176"/>
    </row>
    <row r="1104" spans="1:20">
      <c r="A1104" s="176" t="s">
        <v>1843</v>
      </c>
      <c r="B1104" s="59">
        <f>+B1103+1</f>
        <v>1096</v>
      </c>
      <c r="C1104" s="177">
        <v>1784</v>
      </c>
      <c r="D1104" s="92" t="str">
        <f>+A1104</f>
        <v>mIBG</v>
      </c>
      <c r="E1104" s="127"/>
      <c r="T1104" s="176"/>
    </row>
    <row r="1105" spans="1:20">
      <c r="A1105" s="176" t="s">
        <v>1844</v>
      </c>
      <c r="B1105" s="59">
        <f>+B1104+1</f>
        <v>1097</v>
      </c>
      <c r="C1105" s="177">
        <v>162</v>
      </c>
      <c r="D1105" s="92" t="str">
        <f>+A1105</f>
        <v>Thyroid post ablation I-131 imaging only</v>
      </c>
      <c r="E1105" s="127"/>
      <c r="T1105" s="176"/>
    </row>
    <row r="1106" spans="1:20">
      <c r="A1106" s="176" t="s">
        <v>1845</v>
      </c>
      <c r="B1106" s="59">
        <f>+B1105+1</f>
        <v>1098</v>
      </c>
      <c r="C1106" s="177">
        <v>322</v>
      </c>
      <c r="D1106" s="92" t="str">
        <f>+A1106</f>
        <v>Thyroid post ablation I-131 imaging and drink</v>
      </c>
      <c r="E1106" s="127"/>
      <c r="T1106" s="176"/>
    </row>
    <row r="1107" spans="1:20">
      <c r="A1107" s="176" t="s">
        <v>1846</v>
      </c>
      <c r="B1107" s="59">
        <f>+B1106+1</f>
        <v>1099</v>
      </c>
      <c r="C1107" s="177">
        <v>864</v>
      </c>
      <c r="D1107" s="92" t="str">
        <f>+A1107</f>
        <v>P32</v>
      </c>
      <c r="E1107" s="127"/>
      <c r="T1107" s="176"/>
    </row>
    <row r="1108" spans="1:20">
      <c r="A1108" s="176" t="s">
        <v>1847</v>
      </c>
      <c r="B1108" s="59">
        <f>+B1107+1</f>
        <v>1100</v>
      </c>
      <c r="C1108" s="177" t="s">
        <v>1724</v>
      </c>
      <c r="D1108" s="92" t="str">
        <f>+A1108</f>
        <v>Blood Vol</v>
      </c>
      <c r="E1108" s="127"/>
      <c r="T1108" s="176"/>
    </row>
    <row r="1109" spans="1:20">
      <c r="A1109" s="176" t="s">
        <v>1848</v>
      </c>
      <c r="B1109" s="59">
        <f>+B1108+1</f>
        <v>1101</v>
      </c>
      <c r="C1109" s="177">
        <v>301</v>
      </c>
      <c r="D1109" s="92" t="str">
        <f>+A1109</f>
        <v>GFR</v>
      </c>
      <c r="E1109" s="127"/>
      <c r="T1109" s="176"/>
    </row>
    <row r="1110" spans="1:20">
      <c r="A1110" s="176" t="s">
        <v>1849</v>
      </c>
      <c r="B1110" s="59">
        <f>+B1109+1</f>
        <v>1102</v>
      </c>
      <c r="C1110" s="177">
        <v>162</v>
      </c>
      <c r="D1110" s="92" t="str">
        <f>+A1110</f>
        <v>Urea</v>
      </c>
      <c r="E1110" s="127"/>
      <c r="T1110" s="176"/>
    </row>
    <row r="1111" spans="1:20">
      <c r="A1111" s="176" t="s">
        <v>1850</v>
      </c>
      <c r="B1111" s="59">
        <f>+B1110+1</f>
        <v>1103</v>
      </c>
      <c r="C1111" s="177">
        <v>162</v>
      </c>
      <c r="D1111" s="92" t="str">
        <f>+A1111</f>
        <v>Bile Salt deconjugation C14</v>
      </c>
      <c r="E1111" s="127"/>
      <c r="T1111" s="176"/>
    </row>
    <row r="1112" spans="1:20" ht="14">
      <c r="A1112" s="178" t="s">
        <v>1851</v>
      </c>
      <c r="B1112" s="59">
        <f>+B1111+1</f>
        <v>1104</v>
      </c>
      <c r="C1112" s="177">
        <v>304</v>
      </c>
      <c r="D1112" s="92" t="str">
        <f>+A1112</f>
        <v>Meckels</v>
      </c>
      <c r="E1112" s="127"/>
      <c r="T1112" s="178"/>
    </row>
    <row r="1113" spans="1:20">
      <c r="A1113" s="127"/>
      <c r="B1113" s="127"/>
      <c r="C1113" s="177"/>
      <c r="D1113" s="59">
        <f>+A1113</f>
        <v>0</v>
      </c>
      <c r="E1113" s="127"/>
      <c r="T1113" s="127"/>
    </row>
    <row r="1114" spans="1:20">
      <c r="A1114" s="127"/>
      <c r="B1114" s="127"/>
      <c r="C1114" s="177"/>
      <c r="D1114" s="59">
        <f>+A1114</f>
        <v>0</v>
      </c>
      <c r="E1114" s="127"/>
      <c r="T1114" s="127"/>
    </row>
    <row r="1115" spans="1:20">
      <c r="A1115" s="127"/>
      <c r="B1115" s="127"/>
      <c r="C1115" s="177"/>
      <c r="D1115" s="59">
        <f>+A1115</f>
        <v>0</v>
      </c>
      <c r="E1115" s="127"/>
      <c r="T1115" s="127"/>
    </row>
    <row r="1116" spans="1:20">
      <c r="A1116" s="127"/>
      <c r="B1116" s="127"/>
      <c r="C1116" s="177"/>
      <c r="D1116" s="59">
        <f>+A1116</f>
        <v>0</v>
      </c>
      <c r="E1116" s="127"/>
      <c r="T1116" s="127"/>
    </row>
    <row r="1117" spans="1:20">
      <c r="A1117" s="127"/>
      <c r="B1117" s="127"/>
      <c r="C1117" s="177"/>
      <c r="D1117" s="59">
        <f>+A1117</f>
        <v>0</v>
      </c>
      <c r="E1117" s="127"/>
      <c r="T1117" s="127"/>
    </row>
    <row r="1118" spans="1:20">
      <c r="A1118" s="127"/>
      <c r="B1118" s="127"/>
      <c r="C1118" s="173"/>
      <c r="E1118" s="127"/>
      <c r="T1118" s="127"/>
    </row>
    <row r="1119" spans="1:20">
      <c r="A1119" s="127"/>
      <c r="B1119" s="127"/>
      <c r="C1119" s="67"/>
      <c r="E1119" s="127"/>
      <c r="T1119" s="127"/>
    </row>
    <row r="1120" spans="1:20">
      <c r="A1120" s="127"/>
      <c r="B1120" s="127"/>
      <c r="C1120" s="67"/>
      <c r="E1120" s="127"/>
      <c r="T1120" s="127"/>
    </row>
    <row r="1121" spans="1:20">
      <c r="A1121" s="127"/>
      <c r="B1121" s="127"/>
      <c r="C1121" s="67"/>
      <c r="E1121" s="127"/>
      <c r="T1121" s="127"/>
    </row>
    <row r="1122" spans="1:20">
      <c r="A1122" s="127"/>
      <c r="B1122" s="127"/>
      <c r="C1122" s="67"/>
      <c r="E1122" s="127"/>
      <c r="T1122" s="127"/>
    </row>
    <row r="1123" spans="1:20">
      <c r="A1123" s="127"/>
      <c r="B1123" s="127"/>
      <c r="C1123" s="67"/>
      <c r="E1123" s="127"/>
      <c r="T1123" s="127"/>
    </row>
    <row r="1124" spans="1:20">
      <c r="A1124" s="127"/>
      <c r="B1124" s="127"/>
      <c r="C1124" s="67"/>
      <c r="E1124" s="127"/>
      <c r="T1124" s="127"/>
    </row>
    <row r="1125" spans="1:20">
      <c r="A1125" s="127"/>
      <c r="B1125" s="127"/>
      <c r="C1125" s="67"/>
      <c r="E1125" s="127"/>
      <c r="T1125" s="127"/>
    </row>
    <row r="1126" spans="1:20">
      <c r="A1126" s="127"/>
      <c r="B1126" s="127"/>
      <c r="C1126" s="67"/>
      <c r="E1126" s="127"/>
      <c r="T1126" s="127"/>
    </row>
    <row r="1127" spans="1:20">
      <c r="A1127" s="127"/>
      <c r="B1127" s="127"/>
      <c r="C1127" s="67"/>
      <c r="E1127" s="127"/>
      <c r="T1127" s="127"/>
    </row>
    <row r="1128" spans="1:20">
      <c r="A1128" s="127"/>
      <c r="B1128" s="127"/>
      <c r="C1128" s="67"/>
      <c r="E1128" s="127"/>
      <c r="T1128" s="127"/>
    </row>
    <row r="1129" spans="1:20">
      <c r="A1129" s="127"/>
      <c r="B1129" s="127"/>
      <c r="C1129" s="67"/>
      <c r="E1129" s="127"/>
      <c r="T1129" s="127"/>
    </row>
    <row r="1130" spans="1:5">
      <c r="A1130" s="127"/>
      <c r="B1130" s="127"/>
      <c r="C1130" s="67"/>
      <c r="E1130" s="127"/>
    </row>
    <row r="1131" spans="1:5">
      <c r="A1131" s="127"/>
      <c r="B1131" s="127"/>
      <c r="C1131" s="67"/>
      <c r="E1131" s="127"/>
    </row>
    <row r="1132" spans="1:5">
      <c r="A1132" s="127"/>
      <c r="B1132" s="127"/>
      <c r="C1132" s="67"/>
      <c r="E1132" s="127"/>
    </row>
    <row r="1133" spans="1:5">
      <c r="A1133" s="127"/>
      <c r="B1133" s="127"/>
      <c r="C1133" s="67"/>
      <c r="E1133" s="127"/>
    </row>
    <row r="1134" spans="1:5">
      <c r="A1134" s="127"/>
      <c r="B1134" s="127"/>
      <c r="C1134" s="67"/>
      <c r="E1134" s="127"/>
    </row>
    <row r="1135" spans="1:5">
      <c r="A1135" s="127"/>
      <c r="B1135" s="127"/>
      <c r="C1135" s="67"/>
      <c r="E1135" s="127"/>
    </row>
    <row r="1136" spans="1:5">
      <c r="A1136" s="127"/>
      <c r="B1136" s="127"/>
      <c r="C1136" s="67"/>
      <c r="E1136" s="127"/>
    </row>
    <row r="1137" spans="1:5">
      <c r="A1137" s="127"/>
      <c r="B1137" s="127"/>
      <c r="C1137" s="67"/>
      <c r="E1137" s="127"/>
    </row>
    <row r="1138" spans="1:5">
      <c r="A1138" s="127"/>
      <c r="B1138" s="127"/>
      <c r="C1138" s="67"/>
      <c r="E1138" s="127"/>
    </row>
    <row r="1139" spans="1:5">
      <c r="A1139" s="127"/>
      <c r="B1139" s="127"/>
      <c r="C1139" s="67"/>
      <c r="E1139" s="127"/>
    </row>
    <row r="1140" spans="1:5">
      <c r="A1140" s="127"/>
      <c r="B1140" s="127"/>
      <c r="C1140" s="67"/>
      <c r="E1140" s="127"/>
    </row>
    <row r="1141" spans="1:5">
      <c r="A1141" s="127"/>
      <c r="B1141" s="127"/>
      <c r="C1141" s="67"/>
      <c r="E1141" s="127"/>
    </row>
    <row r="1142" spans="1:5">
      <c r="A1142" s="127"/>
      <c r="B1142" s="127"/>
      <c r="C1142" s="67"/>
      <c r="E1142" s="127"/>
    </row>
    <row r="1143" spans="1:5">
      <c r="A1143" s="127"/>
      <c r="B1143" s="127"/>
      <c r="C1143" s="67"/>
      <c r="E1143" s="127"/>
    </row>
    <row r="1144" spans="1:5">
      <c r="A1144" s="127"/>
      <c r="B1144" s="127"/>
      <c r="C1144" s="67"/>
      <c r="E1144" s="127"/>
    </row>
    <row r="1145" spans="1:5">
      <c r="A1145" s="127"/>
      <c r="B1145" s="127"/>
      <c r="C1145" s="67"/>
      <c r="E1145" s="127"/>
    </row>
    <row r="1146" spans="1:5">
      <c r="A1146" s="127"/>
      <c r="B1146" s="127"/>
      <c r="C1146" s="67"/>
      <c r="E1146" s="127"/>
    </row>
    <row r="1147" spans="1:5">
      <c r="A1147" s="127"/>
      <c r="B1147" s="127"/>
      <c r="C1147" s="67"/>
      <c r="E1147" s="127"/>
    </row>
    <row r="1148" spans="1:5">
      <c r="A1148" s="127"/>
      <c r="B1148" s="127"/>
      <c r="C1148" s="67"/>
      <c r="E1148" s="127"/>
    </row>
    <row r="1149" spans="1:5">
      <c r="A1149" s="127"/>
      <c r="B1149" s="127"/>
      <c r="C1149" s="67"/>
      <c r="E1149" s="127"/>
    </row>
    <row r="1150" spans="1:5">
      <c r="A1150" s="127"/>
      <c r="B1150" s="127"/>
      <c r="C1150" s="67"/>
      <c r="E1150" s="127"/>
    </row>
    <row r="1151" spans="1:5">
      <c r="A1151" s="127"/>
      <c r="B1151" s="127"/>
      <c r="C1151" s="67"/>
      <c r="E1151" s="127"/>
    </row>
    <row r="1152" spans="1:5">
      <c r="A1152" s="127"/>
      <c r="B1152" s="127"/>
      <c r="C1152" s="67"/>
      <c r="E1152" s="127"/>
    </row>
    <row r="1153" spans="1:5">
      <c r="A1153" s="127"/>
      <c r="B1153" s="127"/>
      <c r="C1153" s="67"/>
      <c r="E1153" s="127"/>
    </row>
    <row r="1154" spans="1:5">
      <c r="A1154" s="127"/>
      <c r="B1154" s="127"/>
      <c r="C1154" s="67"/>
      <c r="E1154" s="127"/>
    </row>
    <row r="1155" spans="1:5">
      <c r="A1155" s="127"/>
      <c r="B1155" s="127"/>
      <c r="C1155" s="67"/>
      <c r="E1155" s="127"/>
    </row>
    <row r="1156" spans="1:5">
      <c r="A1156" s="127"/>
      <c r="B1156" s="127"/>
      <c r="C1156" s="67"/>
      <c r="E1156" s="127"/>
    </row>
    <row r="1157" spans="1:5">
      <c r="A1157" s="127"/>
      <c r="B1157" s="127"/>
      <c r="C1157" s="67"/>
      <c r="E1157" s="127"/>
    </row>
    <row r="1158" spans="1:5">
      <c r="A1158" s="127"/>
      <c r="B1158" s="127"/>
      <c r="C1158" s="67"/>
      <c r="E1158" s="127"/>
    </row>
    <row r="1159" spans="1:5">
      <c r="A1159" s="127"/>
      <c r="B1159" s="127"/>
      <c r="C1159" s="67"/>
      <c r="E1159" s="127"/>
    </row>
    <row r="1160" spans="1:5">
      <c r="A1160" s="127"/>
      <c r="B1160" s="127"/>
      <c r="C1160" s="67"/>
      <c r="E1160" s="127"/>
    </row>
    <row r="1161" spans="1:5">
      <c r="A1161" s="127"/>
      <c r="B1161" s="127"/>
      <c r="C1161" s="67"/>
      <c r="E1161" s="127"/>
    </row>
    <row r="1162" spans="1:5">
      <c r="A1162" s="127"/>
      <c r="B1162" s="127"/>
      <c r="C1162" s="67"/>
      <c r="E1162" s="127"/>
    </row>
    <row r="1163" spans="1:5">
      <c r="A1163" s="127"/>
      <c r="B1163" s="127"/>
      <c r="C1163" s="67"/>
      <c r="E1163" s="127"/>
    </row>
    <row r="1164" spans="1:5">
      <c r="A1164" s="127"/>
      <c r="B1164" s="127"/>
      <c r="C1164" s="67"/>
      <c r="E1164" s="127"/>
    </row>
    <row r="1165" spans="1:5">
      <c r="A1165" s="127"/>
      <c r="B1165" s="127"/>
      <c r="C1165" s="67"/>
      <c r="E1165" s="127"/>
    </row>
    <row r="1166" spans="1:5">
      <c r="A1166" s="127"/>
      <c r="B1166" s="127"/>
      <c r="C1166" s="67"/>
      <c r="E1166" s="127"/>
    </row>
    <row r="1167" spans="1:5">
      <c r="A1167" s="127"/>
      <c r="B1167" s="127"/>
      <c r="C1167" s="67"/>
      <c r="E1167" s="127"/>
    </row>
    <row r="1168" spans="1:5">
      <c r="A1168" s="127"/>
      <c r="B1168" s="127"/>
      <c r="C1168" s="67"/>
      <c r="E1168" s="127"/>
    </row>
    <row r="1169" spans="1:5">
      <c r="A1169" s="127"/>
      <c r="B1169" s="127"/>
      <c r="C1169" s="67"/>
      <c r="E1169" s="127"/>
    </row>
    <row r="1170" spans="1:5">
      <c r="A1170" s="127"/>
      <c r="B1170" s="127"/>
      <c r="C1170" s="67"/>
      <c r="E1170" s="127"/>
    </row>
    <row r="1171" spans="1:5">
      <c r="A1171" s="127"/>
      <c r="B1171" s="127"/>
      <c r="C1171" s="67"/>
      <c r="E1171" s="127"/>
    </row>
    <row r="1172" spans="1:5">
      <c r="A1172" s="127"/>
      <c r="B1172" s="127"/>
      <c r="C1172" s="67"/>
      <c r="E1172" s="127"/>
    </row>
    <row r="1173" spans="1:5">
      <c r="A1173" s="127"/>
      <c r="B1173" s="127"/>
      <c r="C1173" s="67"/>
      <c r="E1173" s="127"/>
    </row>
    <row r="1174" spans="1:5">
      <c r="A1174" s="127"/>
      <c r="B1174" s="127"/>
      <c r="C1174" s="67"/>
      <c r="E1174" s="127"/>
    </row>
    <row r="1175" spans="1:5">
      <c r="A1175" s="127"/>
      <c r="B1175" s="127"/>
      <c r="C1175" s="67"/>
      <c r="E1175" s="127"/>
    </row>
    <row r="1176" spans="1:5">
      <c r="A1176" s="127"/>
      <c r="B1176" s="127"/>
      <c r="C1176" s="67"/>
      <c r="E1176" s="127"/>
    </row>
    <row r="1177" spans="1:5">
      <c r="A1177" s="127"/>
      <c r="B1177" s="127"/>
      <c r="C1177" s="67"/>
      <c r="E1177" s="127"/>
    </row>
    <row r="1178" spans="1:5">
      <c r="A1178" s="127"/>
      <c r="B1178" s="127"/>
      <c r="C1178" s="67"/>
      <c r="E1178" s="127"/>
    </row>
    <row r="1179" spans="1:5">
      <c r="A1179" s="127"/>
      <c r="B1179" s="127"/>
      <c r="C1179" s="67"/>
      <c r="E1179" s="127"/>
    </row>
    <row r="1180" spans="1:5">
      <c r="A1180" s="127"/>
      <c r="B1180" s="127"/>
      <c r="C1180" s="67"/>
      <c r="E1180" s="127"/>
    </row>
    <row r="1181" spans="1:5">
      <c r="A1181" s="127"/>
      <c r="B1181" s="127"/>
      <c r="C1181" s="67"/>
      <c r="E1181" s="127"/>
    </row>
    <row r="1182" spans="1:5">
      <c r="A1182" s="127"/>
      <c r="B1182" s="127"/>
      <c r="C1182" s="67"/>
      <c r="E1182" s="127"/>
    </row>
    <row r="1183" spans="1:5">
      <c r="A1183" s="127"/>
      <c r="B1183" s="127"/>
      <c r="C1183" s="67"/>
      <c r="E1183" s="127"/>
    </row>
    <row r="1184" spans="1:5">
      <c r="A1184" s="127"/>
      <c r="B1184" s="127"/>
      <c r="C1184" s="67"/>
      <c r="E1184" s="127"/>
    </row>
    <row r="1185" spans="3:3">
      <c r="C1185" s="67"/>
    </row>
    <row r="1186" spans="3:3">
      <c r="C1186" s="67"/>
    </row>
    <row r="1187" spans="3:3">
      <c r="C1187" s="67"/>
    </row>
    <row r="1188" spans="3:3">
      <c r="C1188" s="67"/>
    </row>
    <row r="1189" spans="3:3">
      <c r="C1189" s="67"/>
    </row>
    <row r="1190" spans="3:3">
      <c r="C1190" s="67"/>
    </row>
    <row r="1191" spans="3:3">
      <c r="C1191" s="67"/>
    </row>
    <row r="1192" spans="3:3">
      <c r="C1192" s="67"/>
    </row>
    <row r="1193" spans="3:3">
      <c r="C1193" s="67"/>
    </row>
    <row r="1194" spans="3:3">
      <c r="C1194" s="67"/>
    </row>
    <row r="1195" spans="3:3">
      <c r="C1195" s="67"/>
    </row>
    <row r="1196" spans="3:3">
      <c r="C1196" s="67"/>
    </row>
    <row r="1197" spans="3:3">
      <c r="C1197" s="67"/>
    </row>
    <row r="1198" spans="3:3">
      <c r="C1198" s="67"/>
    </row>
    <row r="1199" spans="3:3">
      <c r="C1199" s="67"/>
    </row>
    <row r="1200" spans="3:3">
      <c r="C1200" s="67"/>
    </row>
    <row r="1201" spans="3:3">
      <c r="C1201" s="67"/>
    </row>
    <row r="1202" spans="3:3">
      <c r="C1202" s="67"/>
    </row>
    <row r="1203" spans="3:3">
      <c r="C1203" s="67"/>
    </row>
    <row r="1204" spans="3:3">
      <c r="C1204" s="67"/>
    </row>
    <row r="1205" spans="3:3">
      <c r="C1205" s="67"/>
    </row>
    <row r="1206" spans="3:3">
      <c r="C1206" s="67"/>
    </row>
    <row r="1207" spans="3:3">
      <c r="C1207" s="67"/>
    </row>
    <row r="1208" spans="3:3">
      <c r="C1208" s="67"/>
    </row>
    <row r="1209" spans="3:3">
      <c r="C1209" s="67"/>
    </row>
    <row r="1210" spans="3:3">
      <c r="C1210" s="67"/>
    </row>
    <row r="1211" spans="3:3">
      <c r="C1211" s="67"/>
    </row>
    <row r="1212" spans="3:3">
      <c r="C1212" s="67"/>
    </row>
    <row r="1213" spans="3:3">
      <c r="C1213" s="67"/>
    </row>
    <row r="1214" spans="3:3">
      <c r="C1214" s="67"/>
    </row>
    <row r="1215" spans="3:3">
      <c r="C1215" s="67"/>
    </row>
    <row r="1216" spans="3:3">
      <c r="C1216" s="67"/>
    </row>
    <row r="1217" spans="3:3">
      <c r="C1217" s="67"/>
    </row>
    <row r="1218" spans="3:3">
      <c r="C1218" s="67"/>
    </row>
    <row r="1219" spans="3:3">
      <c r="C1219" s="67"/>
    </row>
    <row r="1220" spans="3:3">
      <c r="C1220" s="67"/>
    </row>
    <row r="1221" spans="3:3">
      <c r="C1221" s="67"/>
    </row>
    <row r="1222" spans="3:3">
      <c r="C1222" s="67"/>
    </row>
    <row r="1223" spans="3:3">
      <c r="C1223" s="67"/>
    </row>
    <row r="1224" spans="3:3">
      <c r="C1224" s="67"/>
    </row>
    <row r="1225" spans="3:3">
      <c r="C1225" s="67"/>
    </row>
    <row r="1226" spans="3:3">
      <c r="C1226" s="67"/>
    </row>
    <row r="1227" spans="3:3">
      <c r="C1227" s="67"/>
    </row>
    <row r="1228" spans="3:3">
      <c r="C1228" s="67"/>
    </row>
    <row r="1229" spans="3:3">
      <c r="C1229" s="67"/>
    </row>
    <row r="1230" spans="3:3">
      <c r="C1230" s="67"/>
    </row>
    <row r="1231" spans="3:3">
      <c r="C1231" s="67"/>
    </row>
    <row r="1232" spans="3:3">
      <c r="C1232" s="67"/>
    </row>
    <row r="1233" spans="3:3">
      <c r="C1233" s="67"/>
    </row>
    <row r="1234" spans="3:3">
      <c r="C1234" s="67"/>
    </row>
    <row r="1235" spans="3:3">
      <c r="C1235" s="67"/>
    </row>
    <row r="1236" spans="3:3">
      <c r="C1236" s="67"/>
    </row>
    <row r="1237" spans="3:3">
      <c r="C1237" s="67"/>
    </row>
    <row r="1238" spans="3:3">
      <c r="C1238" s="67"/>
    </row>
    <row r="1239" spans="3:3">
      <c r="C1239" s="67"/>
    </row>
    <row r="1240" spans="3:3">
      <c r="C1240" s="67"/>
    </row>
    <row r="1241" spans="3:3">
      <c r="C1241" s="67"/>
    </row>
    <row r="1242" spans="3:3">
      <c r="C1242" s="67"/>
    </row>
    <row r="1243" spans="3:3">
      <c r="C1243" s="67"/>
    </row>
    <row r="1244" spans="3:3">
      <c r="C1244" s="67"/>
    </row>
    <row r="1245" spans="3:3">
      <c r="C1245" s="67"/>
    </row>
    <row r="1246" spans="3:3">
      <c r="C1246" s="67"/>
    </row>
    <row r="1247" spans="3:3">
      <c r="C1247" s="67"/>
    </row>
    <row r="1248" spans="3:3">
      <c r="C1248" s="67"/>
    </row>
    <row r="1249" spans="3:3">
      <c r="C1249" s="67"/>
    </row>
    <row r="1250" spans="3:3">
      <c r="C1250" s="67"/>
    </row>
    <row r="1251" spans="3:3">
      <c r="C1251" s="67"/>
    </row>
    <row r="1252" spans="3:3">
      <c r="C1252" s="67"/>
    </row>
    <row r="1253" spans="3:3">
      <c r="C1253" s="67"/>
    </row>
    <row r="1254" spans="3:3">
      <c r="C1254" s="67"/>
    </row>
    <row r="1255" spans="3:3">
      <c r="C1255" s="67"/>
    </row>
    <row r="1256" spans="3:3">
      <c r="C1256" s="67"/>
    </row>
    <row r="1257" spans="3:3">
      <c r="C1257" s="67"/>
    </row>
    <row r="1258" spans="3:3">
      <c r="C1258" s="67"/>
    </row>
    <row r="1259" spans="3:3">
      <c r="C1259" s="67"/>
    </row>
    <row r="1260" spans="3:3">
      <c r="C1260" s="67"/>
    </row>
    <row r="1261" spans="3:3">
      <c r="C1261" s="67"/>
    </row>
    <row r="1262" spans="3:3">
      <c r="C1262" s="67"/>
    </row>
    <row r="1263" spans="3:3">
      <c r="C1263" s="67"/>
    </row>
    <row r="1264" spans="3:3">
      <c r="C1264" s="67"/>
    </row>
    <row r="1265" spans="3:3">
      <c r="C1265" s="67"/>
    </row>
    <row r="1266" spans="3:3">
      <c r="C1266" s="67"/>
    </row>
    <row r="1267" spans="3:3">
      <c r="C1267" s="67"/>
    </row>
    <row r="1268" spans="3:3">
      <c r="C1268" s="67"/>
    </row>
    <row r="1269" spans="3:3">
      <c r="C1269" s="67"/>
    </row>
    <row r="1270" spans="3:3">
      <c r="C1270" s="67"/>
    </row>
    <row r="1271" spans="3:3">
      <c r="C1271" s="67"/>
    </row>
    <row r="1272" spans="3:3">
      <c r="C1272" s="67"/>
    </row>
    <row r="1273" spans="3:3">
      <c r="C1273" s="67"/>
    </row>
    <row r="1274" spans="3:3">
      <c r="C1274" s="67"/>
    </row>
    <row r="1275" spans="3:3">
      <c r="C1275" s="67"/>
    </row>
    <row r="1276" spans="3:3">
      <c r="C1276" s="67"/>
    </row>
    <row r="1277" spans="3:3">
      <c r="C1277" s="67"/>
    </row>
    <row r="1278" spans="3:3">
      <c r="C1278" s="67"/>
    </row>
    <row r="1279" spans="3:3">
      <c r="C1279" s="67"/>
    </row>
    <row r="1280" spans="3:3">
      <c r="C1280" s="67"/>
    </row>
    <row r="1281" spans="3:3">
      <c r="C1281" s="67"/>
    </row>
    <row r="1282" spans="3:3">
      <c r="C1282" s="67"/>
    </row>
    <row r="1283" spans="3:3">
      <c r="C1283" s="67"/>
    </row>
    <row r="1284" spans="3:3">
      <c r="C1284" s="67"/>
    </row>
    <row r="1285" spans="3:3">
      <c r="C1285" s="67"/>
    </row>
    <row r="1286" spans="3:3">
      <c r="C1286" s="67"/>
    </row>
    <row r="1287" spans="3:3">
      <c r="C1287" s="67"/>
    </row>
    <row r="1288" spans="3:3">
      <c r="C1288" s="67"/>
    </row>
    <row r="1289" spans="3:3">
      <c r="C1289" s="67"/>
    </row>
    <row r="1290" spans="3:3">
      <c r="C1290" s="67"/>
    </row>
    <row r="1291" spans="3:3">
      <c r="C1291" s="67"/>
    </row>
    <row r="1292" spans="3:3">
      <c r="C1292" s="67"/>
    </row>
    <row r="1293" spans="3:3">
      <c r="C1293" s="67"/>
    </row>
    <row r="1294" spans="3:3">
      <c r="C1294" s="67"/>
    </row>
    <row r="1295" spans="3:3">
      <c r="C1295" s="67"/>
    </row>
    <row r="1296" spans="3:3">
      <c r="C1296" s="67"/>
    </row>
    <row r="1297" spans="3:3">
      <c r="C1297" s="67"/>
    </row>
    <row r="1298" spans="3:3">
      <c r="C1298" s="67"/>
    </row>
    <row r="1299" spans="3:3">
      <c r="C1299" s="67"/>
    </row>
    <row r="1300" spans="3:3">
      <c r="C1300" s="67"/>
    </row>
    <row r="1301" spans="3:3">
      <c r="C1301" s="67"/>
    </row>
    <row r="1302" spans="3:3">
      <c r="C1302" s="67"/>
    </row>
    <row r="1303" spans="3:3">
      <c r="C1303" s="67"/>
    </row>
    <row r="1304" spans="3:3">
      <c r="C1304" s="67"/>
    </row>
    <row r="1305" spans="3:3">
      <c r="C1305" s="67"/>
    </row>
    <row r="1306" spans="3:3">
      <c r="C1306" s="67"/>
    </row>
    <row r="1307" spans="3:3">
      <c r="C1307" s="67"/>
    </row>
    <row r="1308" spans="3:3">
      <c r="C1308" s="67"/>
    </row>
    <row r="1309" spans="3:3">
      <c r="C1309" s="67"/>
    </row>
    <row r="1310" spans="3:3">
      <c r="C1310" s="67"/>
    </row>
    <row r="1311" spans="3:3">
      <c r="C1311" s="67"/>
    </row>
    <row r="1312" spans="3:3">
      <c r="C1312" s="67"/>
    </row>
    <row r="1313" spans="3:3">
      <c r="C1313" s="67"/>
    </row>
    <row r="1314" spans="3:3">
      <c r="C1314" s="67"/>
    </row>
    <row r="1315" spans="3:3">
      <c r="C1315" s="67"/>
    </row>
    <row r="1316" spans="3:3">
      <c r="C1316" s="67"/>
    </row>
    <row r="1317" spans="3:3">
      <c r="C1317" s="67"/>
    </row>
    <row r="1318" spans="3:3">
      <c r="C1318" s="67"/>
    </row>
    <row r="1319" spans="3:3">
      <c r="C1319" s="67"/>
    </row>
    <row r="1320" spans="3:3">
      <c r="C1320" s="67"/>
    </row>
    <row r="1321" spans="3:3">
      <c r="C1321" s="67"/>
    </row>
    <row r="1322" spans="3:3">
      <c r="C1322" s="67"/>
    </row>
    <row r="1323" spans="3:3">
      <c r="C1323" s="67"/>
    </row>
    <row r="1324" spans="3:3">
      <c r="C1324" s="67"/>
    </row>
    <row r="1325" spans="3:3">
      <c r="C1325" s="67"/>
    </row>
    <row r="1326" spans="3:3">
      <c r="C1326" s="67"/>
    </row>
    <row r="1327" spans="3:3">
      <c r="C1327" s="67"/>
    </row>
    <row r="1328" spans="3:3">
      <c r="C1328" s="67"/>
    </row>
    <row r="1329" spans="3:3">
      <c r="C1329" s="67"/>
    </row>
    <row r="1330" spans="3:3">
      <c r="C1330" s="67"/>
    </row>
    <row r="1331" spans="3:3">
      <c r="C1331" s="67"/>
    </row>
    <row r="1332" spans="3:3">
      <c r="C1332" s="67"/>
    </row>
    <row r="1333" spans="3:3">
      <c r="C1333" s="67"/>
    </row>
    <row r="1334" spans="3:3">
      <c r="C1334" s="67"/>
    </row>
    <row r="1335" spans="3:3">
      <c r="C1335" s="67"/>
    </row>
    <row r="1336" spans="3:3">
      <c r="C1336" s="67"/>
    </row>
    <row r="1337" spans="3:3">
      <c r="C1337" s="67"/>
    </row>
    <row r="1338" spans="3:3">
      <c r="C1338" s="67"/>
    </row>
    <row r="1339" spans="3:3">
      <c r="C1339" s="67"/>
    </row>
    <row r="1340" spans="3:3">
      <c r="C1340" s="67"/>
    </row>
    <row r="1341" spans="3:3">
      <c r="C1341" s="67"/>
    </row>
    <row r="1342" spans="3:3">
      <c r="C1342" s="67"/>
    </row>
    <row r="1343" spans="3:3">
      <c r="C1343" s="67"/>
    </row>
    <row r="1344" spans="3:3">
      <c r="C1344" s="67"/>
    </row>
    <row r="1345" spans="3:3">
      <c r="C1345" s="67"/>
    </row>
    <row r="1346" spans="3:3">
      <c r="C1346" s="67"/>
    </row>
    <row r="1347" spans="3:3">
      <c r="C1347" s="67"/>
    </row>
    <row r="1348" spans="3:3">
      <c r="C1348" s="67"/>
    </row>
    <row r="1349" spans="3:3">
      <c r="C1349" s="67"/>
    </row>
    <row r="1350" spans="3:3">
      <c r="C1350" s="67"/>
    </row>
    <row r="1351" spans="3:3">
      <c r="C1351" s="67"/>
    </row>
    <row r="1352" spans="3:3">
      <c r="C1352" s="67"/>
    </row>
    <row r="1353" spans="3:3">
      <c r="C1353" s="67"/>
    </row>
    <row r="1354" spans="3:3">
      <c r="C1354" s="67"/>
    </row>
    <row r="1355" spans="3:3">
      <c r="C1355" s="67"/>
    </row>
    <row r="1356" spans="3:3">
      <c r="C1356" s="67"/>
    </row>
    <row r="1357" spans="3:3">
      <c r="C1357" s="67"/>
    </row>
    <row r="1358" spans="3:3">
      <c r="C1358" s="67"/>
    </row>
    <row r="1359" spans="3:3">
      <c r="C1359" s="67"/>
    </row>
    <row r="1360" spans="3:3">
      <c r="C1360" s="67"/>
    </row>
    <row r="1361" spans="3:3">
      <c r="C1361" s="67"/>
    </row>
    <row r="1362" spans="3:3">
      <c r="C1362" s="67"/>
    </row>
    <row r="1363" spans="3:3">
      <c r="C1363" s="67"/>
    </row>
    <row r="1364" spans="3:3">
      <c r="C1364" s="67"/>
    </row>
    <row r="1365" spans="3:3">
      <c r="C1365" s="67"/>
    </row>
  </sheetData>
  <autoFilter ref="A8:N1117"/>
  <pageMargins left="0.24" right="0.2" top="0.26" bottom="0.17" header="0.16" footer="0.18"/>
  <pageSetup paperSize="9" scale="58" fitToHeight="12" orientation="landscape"/>
  <headerFooter scaleWithDoc="1" alignWithMargins="0" differentFirst="0" differentOddEven="0"/>
  <rowBreaks count="2" manualBreakCount="2">
    <brk id="536" max="3" man="1"/>
    <brk id="1064" max="3" man="1"/>
  </rowBreaks>
  <legacy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tabColor rgb="FFFFFF00"/>
    <pageSetUpPr fitToPage="1"/>
  </sheetPr>
  <dimension ref="A1:I44"/>
  <sheetViews>
    <sheetView zoomScale="70" view="normal" workbookViewId="0">
      <selection pane="topLeft" activeCell="F30" sqref="F30"/>
    </sheetView>
  </sheetViews>
  <sheetFormatPr defaultRowHeight="12.5"/>
  <cols>
    <col min="1" max="1" width="54" style="14" customWidth="1"/>
    <col min="2" max="2" width="21.84765625" style="30" customWidth="1"/>
    <col min="3" max="3" width="7.41796875" customWidth="1"/>
    <col min="4" max="4" width="54" customWidth="1"/>
    <col min="5" max="5" width="21.84765625" customWidth="1"/>
    <col min="6" max="6" width="3.41796875" customWidth="1"/>
    <col min="7" max="7" width="49.7109375" customWidth="1"/>
    <col min="8" max="8" width="21.84765625" customWidth="1"/>
  </cols>
  <sheetData>
    <row r="1" spans="1:8" ht="14.5">
      <c r="A1" s="200" t="s">
        <v>1859</v>
      </c>
      <c r="D1" s="200" t="s">
        <v>1896</v>
      </c>
      <c r="E1" s="30"/>
      <c r="G1" s="190"/>
      <c r="H1" s="191"/>
    </row>
    <row r="2" spans="1:8" s="26" customFormat="1" ht="19.5" customHeight="1">
      <c r="A2" s="201" t="s">
        <v>60</v>
      </c>
      <c r="B2" s="204">
        <f>(('Per patient Arm 2'!AV47+'Per patient Arm 2'!AV82)*'Study Information &amp; rates'!B27)+(('Per patient Arm 1'!AV46+'Per patient Arm 1'!AV81)*'Study Information &amp; rates'!B28)+(('Per patient Arm 3'!AV47+'Per patient Arm 3'!AV82)*'Study Information &amp; rates'!B29)+(('Per patient Arm 4'!AV47+'Per patient Arm 4'!AV82)*'Study Information &amp; rates'!B30)+(('Per patient Arm 5'!AV47+'Per patient Arm 5'!AV82)*'Study Information &amp; rates'!B31)</f>
        <v>0</v>
      </c>
      <c r="D2" s="201" t="s">
        <v>60</v>
      </c>
      <c r="E2" s="276">
        <f>((SUMIF('Per patient Arm 2'!$B:$B,'Look Up'!A6,'Per patient Arm 2'!$AV:$AV)+SUMIF('Per patient Arm 2'!$B:$B,'Look Up'!A7,'Per patient Arm 2'!$AV:$AV))*'Study Information &amp; rates'!B27)+((SUMIF('Per patient Arm 1'!$B:$B,'Look Up'!A6,'Per patient Arm 1'!$AV:$AV)+SUMIF('Per patient Arm 1'!$B:$B,'Look Up'!A7,'Per patient Arm 1'!$AV:$AV))*'Study Information &amp; rates'!B28)+((SUMIF('Per patient Arm 3'!$B:$B,'Look Up'!A6,'Per patient Arm 3'!$AV:$AV)+SUMIF('Per patient Arm 3'!$B:$B,'Look Up'!A7,'Per patient Arm 3'!$AV:$AV))*'Study Information &amp; rates'!B29)+((SUMIF('Per patient Arm 4'!$B:$B,'Look Up'!A6,'Per patient Arm 4'!$AV:$AV)+SUMIF('Per patient Arm 4'!$B:$B,'Look Up'!A7,'Per patient Arm 4'!$AV:$AV))*'Study Information &amp; rates'!B30)+((SUMIF('Per patient Arm 5'!$B:$B,'Look Up'!A6,'Per patient Arm 5'!$AV:$AV)+SUMIF('Per patient Arm 5'!$B:$B,'Look Up'!A7,'Per patient Arm 5'!$AV:$AV))*'Study Information &amp; rates'!B31)</f>
        <v>0</v>
      </c>
      <c r="G2" s="253"/>
      <c r="H2" s="226"/>
    </row>
    <row r="3" spans="1:8" s="29" customFormat="1" ht="14.5">
      <c r="A3" s="203" t="s">
        <v>1906</v>
      </c>
      <c r="B3" s="205">
        <f>'Additional Study Activities'!N27</f>
        <v>0</v>
      </c>
      <c r="D3" s="203" t="s">
        <v>36</v>
      </c>
      <c r="E3" s="205">
        <f>'Additional Study Activities'!N27</f>
        <v>0</v>
      </c>
      <c r="G3" s="228"/>
      <c r="H3" s="229"/>
    </row>
    <row r="4" spans="1:8" s="29" customFormat="1" ht="14.5">
      <c r="A4" s="203" t="s">
        <v>1907</v>
      </c>
      <c r="B4" s="205">
        <f>'Set-up and other costs'!C10</f>
        <v>500</v>
      </c>
      <c r="D4" s="203" t="s">
        <v>37</v>
      </c>
      <c r="E4" s="281">
        <f>'Set-up and other costs'!C10</f>
        <v>500</v>
      </c>
      <c r="G4" s="228"/>
      <c r="H4" s="229"/>
    </row>
    <row r="5" spans="1:8" s="29" customFormat="1" ht="14.5">
      <c r="A5" s="203" t="s">
        <v>1908</v>
      </c>
      <c r="B5" s="205" t="e">
        <f>'Set-up and other costs'!#REF!</f>
        <v>#REF!</v>
      </c>
      <c r="D5" s="203" t="s">
        <v>38</v>
      </c>
      <c r="E5" s="205" t="e">
        <f>'Set-up and other costs'!#REF!</f>
        <v>#REF!</v>
      </c>
      <c r="G5" s="228"/>
      <c r="H5" s="229"/>
    </row>
    <row r="6" spans="1:8" s="29" customFormat="1" ht="14.5">
      <c r="A6" s="203" t="s">
        <v>51</v>
      </c>
      <c r="B6" s="205" t="e">
        <f>Pharmacy!J27+'Pharmacy'!#REF!+'Pharmacy'!#REF!</f>
        <v>#REF!</v>
      </c>
      <c r="D6" s="203" t="s">
        <v>51</v>
      </c>
      <c r="E6" s="205" t="e">
        <f>Pharmacy!J27+'Pharmacy'!#REF!+'Pharmacy'!#REF!</f>
        <v>#REF!</v>
      </c>
      <c r="G6" s="228"/>
      <c r="H6" s="229"/>
    </row>
    <row r="7" spans="2:8">
      <c r="B7" s="51"/>
      <c r="D7" s="14"/>
      <c r="E7" s="51"/>
      <c r="G7" s="190"/>
      <c r="H7" s="196"/>
    </row>
    <row r="8" spans="1:8" ht="14.5">
      <c r="A8" s="52" t="s">
        <v>62</v>
      </c>
      <c r="B8" s="53" t="e">
        <f>SUM(B2:B7)</f>
        <v>#REF!</v>
      </c>
      <c r="D8" s="52" t="s">
        <v>62</v>
      </c>
      <c r="E8" s="53" t="e">
        <f>SUM(E2:E7)</f>
        <v>#REF!</v>
      </c>
      <c r="G8" s="197"/>
      <c r="H8" s="196"/>
    </row>
    <row r="9" spans="1:8" ht="14.5">
      <c r="A9" s="52" t="s">
        <v>64</v>
      </c>
      <c r="B9" s="55">
        <v>-6000</v>
      </c>
      <c r="D9" s="52" t="s">
        <v>64</v>
      </c>
      <c r="E9" s="55">
        <v>-6000</v>
      </c>
      <c r="G9" s="197"/>
      <c r="H9" s="198"/>
    </row>
    <row r="10" spans="1:8" ht="14.5">
      <c r="A10" s="52" t="s">
        <v>63</v>
      </c>
      <c r="B10" s="54" t="e">
        <f>B8+B9</f>
        <v>#REF!</v>
      </c>
      <c r="D10" s="52" t="s">
        <v>63</v>
      </c>
      <c r="E10" s="54" t="e">
        <f>E8+E9</f>
        <v>#REF!</v>
      </c>
      <c r="G10" s="197"/>
      <c r="H10" s="199"/>
    </row>
    <row r="11" spans="7:8">
      <c r="G11" s="210"/>
      <c r="H11" s="210"/>
    </row>
    <row r="12" spans="1:9" s="26" customFormat="1" ht="18.75" customHeight="1">
      <c r="A12" s="202" t="s">
        <v>35</v>
      </c>
      <c r="B12" s="204">
        <f>('Per patient Arm 2'!A3*'Study Information &amp; rates'!B27)+('Per patient Arm 1'!B2*'Study Information &amp; rates'!B28)+('Per patient Arm 3'!A3*'Study Information &amp; rates'!B29)+('Per patient Arm 4'!A3*'Study Information &amp; rates'!B30)+('Per patient Arm 5'!A3*'Study Information &amp; rates'!B31)</f>
        <v>0</v>
      </c>
      <c r="C12" s="27"/>
      <c r="D12" s="202" t="s">
        <v>35</v>
      </c>
      <c r="E12" s="204">
        <f>('Per patient Arm 2'!BG92*'Study Information &amp; rates'!B27)+('Per patient Arm 1'!BG91*'Study Information &amp; rates'!B28)+('Per patient Arm 3'!BG92*'Study Information &amp; rates'!B29)+('Per patient Arm 4'!BG92*'Study Information &amp; rates'!B30)+('Per patient Arm 5'!BG92*'Study Information &amp; rates'!B31)</f>
        <v>0</v>
      </c>
      <c r="F12" s="28"/>
      <c r="G12" s="227"/>
      <c r="H12" s="226"/>
      <c r="I12" s="27"/>
    </row>
    <row r="13" spans="7:8">
      <c r="G13" s="210"/>
      <c r="H13" s="210"/>
    </row>
    <row r="14" spans="1:8">
      <c r="A14" s="14" t="s">
        <v>65</v>
      </c>
      <c r="D14" s="14" t="s">
        <v>65</v>
      </c>
      <c r="E14" s="30"/>
      <c r="G14" s="190"/>
      <c r="H14" s="191"/>
    </row>
    <row r="15" spans="1:8">
      <c r="A15" s="14" t="s">
        <v>1</v>
      </c>
      <c r="B15" s="56">
        <f>IFERROR(((SUM('Per patient Arm 2'!H48:AP48)*'Study Information &amp; rates'!#REF!)+(SUM('Per patient Arm 1'!H47:AP47)*'Study Information &amp; rates'!#REF!)+(SUM('Per patient Arm 3'!H48:AP48)*'Study Information &amp; rates'!#REF!)+(SUM('Per patient Arm 4'!H48:AP48)*'Study Information &amp; rates'!#REF!)+(SUM('Per patient Arm 5'!H48:AP48)*'Study Information &amp; rates'!#REF!)+SUM('Additional Study Activities'!E4:E26))/60/(4.33*'Study Information &amp; rates'!B44)/37.5,0)</f>
        <v>0</v>
      </c>
      <c r="D15" s="14" t="s">
        <v>1</v>
      </c>
      <c r="E15" s="56">
        <f>IFERROR((((SUM(#REF!)+SUM(#REF!))*'Study Information &amp; rates'!B27)+SUM('Additional Study Activities'!E4:E26))/60/(4.33*'Study Information &amp; rates'!B44)/37.5,0)</f>
        <v>0</v>
      </c>
      <c r="G15" s="190"/>
      <c r="H15" s="230"/>
    </row>
    <row r="16" spans="1:8">
      <c r="A16" s="14" t="s">
        <v>66</v>
      </c>
      <c r="B16" s="56">
        <f>IFERROR(((SUM('Per patient Arm 2'!H50:AP50)*'Study Information &amp; rates'!B27)+SUM('Additional Study Activities'!G4:G26))/60/(4.33*'Study Information &amp; rates'!B44)/37.5,0)</f>
        <v>0</v>
      </c>
      <c r="D16" s="14" t="s">
        <v>66</v>
      </c>
      <c r="E16" s="56">
        <f>IFERROR((((SUM(#REF!)+SUM(#REF!))*'Study Information &amp; rates'!B27)+SUM('Additional Study Activities'!G4:G26))/60/(4.33*'Study Information &amp; rates'!B44)/37.5,0)</f>
        <v>0</v>
      </c>
      <c r="G16" s="190"/>
      <c r="H16" s="230"/>
    </row>
    <row r="17" spans="1:8">
      <c r="A17" s="14" t="s">
        <v>67</v>
      </c>
      <c r="B17" s="56"/>
      <c r="D17" s="14" t="s">
        <v>67</v>
      </c>
      <c r="E17" s="56"/>
      <c r="G17" s="190"/>
      <c r="H17" s="230"/>
    </row>
    <row r="18" spans="1:8">
      <c r="A18" s="14" t="s">
        <v>1909</v>
      </c>
      <c r="B18" s="56">
        <f>IFERROR(((SUM('Per patient Arm 2'!H51:AP51)*'Study Information &amp; rates'!B27)+SUM('Additional Study Activities'!I4:I26))/60/(4.33*'Study Information &amp; rates'!B44)/37.5,0)</f>
        <v>0</v>
      </c>
      <c r="D18" s="14" t="s">
        <v>1965</v>
      </c>
      <c r="E18" s="56">
        <f>IFERROR((((SUM(#REF!)+SUM(#REF!))*'Study Information &amp; rates'!B27)+SUM('Additional Study Activities'!I4:I26))/60/(4.33*'Study Information &amp; rates'!B44)/37.5,0)</f>
        <v>0</v>
      </c>
      <c r="G18" s="190"/>
      <c r="H18" s="230"/>
    </row>
    <row r="20" spans="1:7" ht="14.5">
      <c r="A20" s="192" t="s">
        <v>1897</v>
      </c>
      <c r="B20" s="264">
        <f>SUMIF('Per patient Arm 2'!$B:$B,'Look Up'!A5,'Per patient Arm 2'!$AV:$AV)*'Study Information &amp; rates'!$B$27+SUMIF('Per patient Arm 1'!$B:$B,'Look Up'!A5,'Per patient Arm 1'!$AV:$AV)*'Study Information &amp; rates'!$B$28+SUMIF('Per patient Arm 3'!$B:$B,'Look Up'!A5,'Per patient Arm 3'!$AV:$AV)*'Study Information &amp; rates'!$B$29+SUMIF('Per patient Arm 4'!$B:$B,'Look Up'!A5,'Per patient Arm 4'!$AV:$AV)*'Study Information &amp; rates'!$B$30+SUMIF('Per patient Arm 5'!$B:$B,'Look Up'!A5,'Per patient Arm 5'!$AV:$AV)*'Study Information &amp; rates'!$B$31</f>
        <v>0</v>
      </c>
      <c r="C20" s="265"/>
      <c r="D20" s="265"/>
      <c r="G20" s="239"/>
    </row>
    <row r="21" spans="1:7" ht="14.5">
      <c r="A21" s="192" t="s">
        <v>1898</v>
      </c>
      <c r="B21" s="264">
        <f>SUMIF('Per patient Arm 2'!$B:$B,'Look Up'!A6,'Per patient Arm 2'!$AV:$AV)*'Study Information &amp; rates'!$B$27+SUMIF('Per patient Arm 1'!$B:$B,'Look Up'!A6,'Per patient Arm 1'!$AV:$AV)*'Study Information &amp; rates'!$B$28+SUMIF('Per patient Arm 3'!$B:$B,'Look Up'!A6,'Per patient Arm 3'!$AV:$AV)*'Study Information &amp; rates'!$B$29+SUMIF('Per patient Arm 4'!$B:$B,'Look Up'!A6,'Per patient Arm 4'!$AV:$AV)*'Study Information &amp; rates'!$B$30+SUMIF('Per patient Arm 5'!$B:$B,'Look Up'!A6,'Per patient Arm 5'!$AV:$AV)*'Study Information &amp; rates'!$B$31</f>
        <v>0</v>
      </c>
      <c r="C21" s="265"/>
      <c r="D21" s="265"/>
      <c r="G21" s="239"/>
    </row>
    <row r="22" spans="1:2" ht="14.5">
      <c r="A22" s="193" t="s">
        <v>1899</v>
      </c>
      <c r="B22" s="264">
        <f>SUMIF('Per patient Arm 2'!$B:$B,'Look Up'!A7,'Per patient Arm 2'!$AV:$AV)*'Study Information &amp; rates'!$B$27+SUMIF('Per patient Arm 1'!$B:$B,'Look Up'!A7,'Per patient Arm 1'!$AV:$AV)*'Study Information &amp; rates'!$B$28+SUMIF('Per patient Arm 3'!$B:$B,'Look Up'!A7,'Per patient Arm 3'!$AV:$AV)*'Study Information &amp; rates'!$B$29+SUMIF('Per patient Arm 4'!$B:$B,'Look Up'!A7,'Per patient Arm 4'!$AV:$AV)*'Study Information &amp; rates'!$B$30+SUMIF('Per patient Arm 5'!$B:$B,'Look Up'!A7,'Per patient Arm 5'!$AV:$AV)*'Study Information &amp; rates'!$B$31</f>
        <v>0</v>
      </c>
    </row>
    <row r="23" spans="1:2" customFormat="1" ht="14.5">
      <c r="A23" s="193"/>
      <c r="B23" s="264"/>
    </row>
    <row r="24" spans="1:3" customFormat="1" ht="14.5">
      <c r="A24" s="193"/>
      <c r="B24" s="264">
        <f>SUM(B20:B23)</f>
        <v>0</v>
      </c>
      <c r="C24" s="13" t="b">
        <f>B24=B2</f>
        <v>1</v>
      </c>
    </row>
    <row r="25" spans="1:4" ht="14.5">
      <c r="A25" s="194"/>
      <c r="B25" s="195"/>
      <c r="D25" s="239"/>
    </row>
    <row r="26" spans="1:2" ht="21">
      <c r="A26" s="235" t="s">
        <v>1905</v>
      </c>
      <c r="B26" s="236"/>
    </row>
    <row r="27" spans="1:4" ht="14.5">
      <c r="A27" s="234" t="s">
        <v>24</v>
      </c>
      <c r="B27" s="234" t="s">
        <v>25</v>
      </c>
      <c r="D27" s="239"/>
    </row>
    <row r="28" spans="1:2" ht="14.5">
      <c r="A28" s="233" t="e">
        <f>IF('Set-up and other costs'!#REF!="","",'Set-up and other costs'!#REF!)</f>
        <v>#REF!</v>
      </c>
      <c r="B28" s="205" t="e">
        <f>'Set-up and other costs'!#REF!</f>
        <v>#REF!</v>
      </c>
    </row>
    <row r="29" spans="1:2" ht="14.5">
      <c r="A29" s="233" t="e">
        <f>IF('Set-up and other costs'!#REF!="","",'Set-up and other costs'!#REF!)</f>
        <v>#REF!</v>
      </c>
      <c r="B29" s="205" t="e">
        <f>'Set-up and other costs'!#REF!</f>
        <v>#REF!</v>
      </c>
    </row>
    <row r="30" spans="1:2" ht="14.5">
      <c r="A30" s="233" t="e">
        <f>IF('Set-up and other costs'!#REF!="","",'Set-up and other costs'!#REF!)</f>
        <v>#REF!</v>
      </c>
      <c r="B30" s="205" t="e">
        <f>'Set-up and other costs'!#REF!</f>
        <v>#REF!</v>
      </c>
    </row>
    <row r="31" spans="1:2" ht="14.5">
      <c r="A31" s="233" t="e">
        <f>IF('Set-up and other costs'!#REF!="","",'Set-up and other costs'!#REF!)</f>
        <v>#REF!</v>
      </c>
      <c r="B31" s="205" t="e">
        <f>'Set-up and other costs'!#REF!</f>
        <v>#REF!</v>
      </c>
    </row>
    <row r="32" spans="1:2" ht="14.5">
      <c r="A32" s="233" t="e">
        <f>IF('Set-up and other costs'!#REF!="","",'Set-up and other costs'!#REF!)</f>
        <v>#REF!</v>
      </c>
      <c r="B32" s="205" t="e">
        <f>'Set-up and other costs'!#REF!</f>
        <v>#REF!</v>
      </c>
    </row>
    <row r="33" spans="1:2" ht="14.5">
      <c r="A33" s="233" t="e">
        <f>IF('Set-up and other costs'!#REF!="","",'Set-up and other costs'!#REF!)</f>
        <v>#REF!</v>
      </c>
      <c r="B33" s="205" t="e">
        <f>'Set-up and other costs'!#REF!</f>
        <v>#REF!</v>
      </c>
    </row>
    <row r="34" spans="1:2" ht="14.5">
      <c r="A34" s="233" t="e">
        <f>IF('Set-up and other costs'!#REF!="","",'Set-up and other costs'!#REF!)</f>
        <v>#REF!</v>
      </c>
      <c r="B34" s="205" t="e">
        <f>'Set-up and other costs'!#REF!</f>
        <v>#REF!</v>
      </c>
    </row>
    <row r="35" spans="1:2" ht="14.5">
      <c r="A35" s="233" t="e">
        <f>IF('Set-up and other costs'!#REF!="","",'Set-up and other costs'!#REF!)</f>
        <v>#REF!</v>
      </c>
      <c r="B35" s="205" t="e">
        <f>'Set-up and other costs'!#REF!</f>
        <v>#REF!</v>
      </c>
    </row>
    <row r="36" spans="1:2" ht="14.5">
      <c r="A36" s="233" t="e">
        <f>IF('Set-up and other costs'!#REF!="","",'Set-up and other costs'!#REF!)</f>
        <v>#REF!</v>
      </c>
      <c r="B36" s="205" t="e">
        <f>'Set-up and other costs'!#REF!</f>
        <v>#REF!</v>
      </c>
    </row>
    <row r="37" spans="1:2" ht="14.5">
      <c r="A37" s="233" t="e">
        <f>IF('Set-up and other costs'!#REF!="","",'Set-up and other costs'!#REF!)</f>
        <v>#REF!</v>
      </c>
      <c r="B37" s="205" t="e">
        <f>'Set-up and other costs'!#REF!</f>
        <v>#REF!</v>
      </c>
    </row>
    <row r="38" spans="1:2" ht="14.5">
      <c r="A38" s="233" t="e">
        <f>IF('Set-up and other costs'!#REF!="","",'Set-up and other costs'!#REF!)</f>
        <v>#REF!</v>
      </c>
      <c r="B38" s="205" t="e">
        <f>'Set-up and other costs'!#REF!</f>
        <v>#REF!</v>
      </c>
    </row>
    <row r="39" spans="1:2" ht="14.5">
      <c r="A39" s="233" t="e">
        <f>IF('Set-up and other costs'!#REF!="","",'Set-up and other costs'!#REF!)</f>
        <v>#REF!</v>
      </c>
      <c r="B39" s="205" t="e">
        <f>'Set-up and other costs'!#REF!</f>
        <v>#REF!</v>
      </c>
    </row>
    <row r="40" spans="1:2" ht="14.5">
      <c r="A40" s="233" t="e">
        <f>IF('Set-up and other costs'!#REF!="","",'Set-up and other costs'!#REF!)</f>
        <v>#REF!</v>
      </c>
      <c r="B40" s="205" t="e">
        <f>'Set-up and other costs'!#REF!</f>
        <v>#REF!</v>
      </c>
    </row>
    <row r="41" spans="1:2">
      <c r="A41" s="190"/>
      <c r="B41" s="196"/>
    </row>
    <row r="42" spans="1:2" ht="14.5">
      <c r="A42" s="197"/>
      <c r="B42" s="196"/>
    </row>
    <row r="43" spans="1:2" ht="14.5">
      <c r="A43" s="197"/>
      <c r="B43" s="198"/>
    </row>
    <row r="44" spans="1:2" ht="14.5">
      <c r="A44" s="197"/>
      <c r="B44" s="199"/>
    </row>
  </sheetData>
  <conditionalFormatting sqref="C24">
    <cfRule type="containsText" dxfId="61" operator="containsText" text="False" priority="1">
      <formula>NOT(ISERROR(SEARCH("False",C24)))</formula>
    </cfRule>
    <cfRule type="containsText" dxfId="62" operator="containsText" text="True" priority="2">
      <formula>NOT(ISERROR(SEARCH("True",C24)))</formula>
    </cfRule>
  </conditionalFormatting>
  <dataValidations count="1">
    <dataValidation type="decimal" operator="lessThanOrEqual" showInputMessage="1" showErrorMessage="1" error="Please use minus (-) before figure." sqref="E9 B9">
      <formula1>0</formula1>
    </dataValidation>
  </dataValidations>
  <pageMargins left="0.70866141732283472" right="0.70866141732283472" top="0.74803149606299213" bottom="0.74803149606299213" header="0.31496062992125984" footer="0.31496062992125984"/>
  <pageSetup paperSize="9" scale="82"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8">
    <tabColor rgb="FFFFFF00"/>
  </sheetPr>
  <dimension ref="A1:L42"/>
  <sheetViews>
    <sheetView topLeftCell="D1" view="normal" workbookViewId="0">
      <selection pane="topLeft" activeCell="F30" sqref="F30"/>
    </sheetView>
  </sheetViews>
  <sheetFormatPr defaultColWidth="9.1796875" defaultRowHeight="12.5"/>
  <cols>
    <col min="1" max="1" width="14.84765625" customWidth="1"/>
    <col min="2" max="2" width="34.140625" customWidth="1"/>
    <col min="3" max="5" width="12.5703125" customWidth="1"/>
    <col min="6" max="6" width="21.41796875" style="241" customWidth="1"/>
    <col min="7" max="7" width="12.5703125" style="242" customWidth="1"/>
    <col min="8" max="8" width="11.41796875" customWidth="1"/>
    <col min="9" max="9" width="27.27734375" customWidth="1"/>
    <col min="10" max="10" width="25.41796875" customWidth="1"/>
    <col min="11" max="11" width="22.7109375" customWidth="1"/>
    <col min="12" max="12" width="22.41796875" customWidth="1"/>
    <col min="13" max="16384" width="9.140625" customWidth="1"/>
  </cols>
  <sheetData>
    <row r="1" spans="1:7" ht="18.5">
      <c r="A1" s="240" t="s">
        <v>1914</v>
      </c>
      <c r="B1" t="s">
        <v>1915</v>
      </c>
      <c r="C1" t="s">
        <v>1916</v>
      </c>
      <c r="G1" s="242">
        <f>'[6]Total summary'!B10</f>
        <v>0</v>
      </c>
    </row>
    <row r="2" spans="1:1" ht="18.5">
      <c r="A2" s="240"/>
    </row>
    <row r="3" spans="1:3" ht="18.5">
      <c r="A3" s="240"/>
      <c r="B3" t="s">
        <v>1917</v>
      </c>
      <c r="C3" t="s">
        <v>1918</v>
      </c>
    </row>
    <row r="4" spans="1:1" ht="18.5">
      <c r="A4" s="240"/>
    </row>
    <row r="5" spans="1:3" ht="18.5">
      <c r="A5" s="240"/>
      <c r="B5" t="s">
        <v>1919</v>
      </c>
      <c r="C5" t="s">
        <v>1920</v>
      </c>
    </row>
    <row r="6" spans="1:1" ht="18.5">
      <c r="A6" s="240"/>
    </row>
    <row r="7" spans="1:3" ht="18.5">
      <c r="A7" s="240"/>
      <c r="B7" t="s">
        <v>1921</v>
      </c>
      <c r="C7" t="s">
        <v>1922</v>
      </c>
    </row>
    <row r="9" spans="3:3">
      <c r="C9" t="s">
        <v>1923</v>
      </c>
    </row>
    <row r="12" spans="4:6" ht="14.5">
      <c r="D12" s="189" t="s">
        <v>1924</v>
      </c>
      <c r="E12" s="189" t="s">
        <v>1925</v>
      </c>
      <c r="F12" s="243" t="s">
        <v>1926</v>
      </c>
    </row>
    <row r="13" spans="1:7" ht="18.5">
      <c r="A13" s="240" t="s">
        <v>1927</v>
      </c>
      <c r="B13" t="s">
        <v>1928</v>
      </c>
      <c r="C13" t="s">
        <v>1929</v>
      </c>
      <c r="E13" s="244"/>
      <c r="G13" s="242">
        <f>'Total summary'!B2</f>
        <v>0</v>
      </c>
    </row>
    <row r="14" spans="3:7">
      <c r="C14" t="s">
        <v>1695</v>
      </c>
      <c r="E14" s="244"/>
      <c r="G14" s="242" t="e">
        <f>'Total summary'!B6</f>
        <v>#REF!</v>
      </c>
    </row>
    <row r="15" spans="3:5">
      <c r="C15" t="s">
        <v>1930</v>
      </c>
      <c r="E15" s="244"/>
    </row>
    <row r="16" spans="3:5">
      <c r="C16" t="s">
        <v>1705</v>
      </c>
      <c r="E16" s="244"/>
    </row>
    <row r="17" spans="3:5">
      <c r="C17" t="s">
        <v>1931</v>
      </c>
      <c r="E17" s="244"/>
    </row>
    <row r="18" spans="3:7">
      <c r="C18" t="s">
        <v>1932</v>
      </c>
      <c r="E18" s="244"/>
      <c r="G18" s="244">
        <f>'Total summary'!B4</f>
        <v>500</v>
      </c>
    </row>
    <row r="19" spans="3:5">
      <c r="C19" t="s">
        <v>1933</v>
      </c>
      <c r="E19" s="244"/>
    </row>
    <row r="20" spans="3:5">
      <c r="C20" t="s">
        <v>1933</v>
      </c>
      <c r="E20" s="244"/>
    </row>
    <row r="22" spans="2:3" ht="14.5">
      <c r="B22" t="s">
        <v>1934</v>
      </c>
      <c r="C22" t="s">
        <v>1966</v>
      </c>
    </row>
    <row r="30" spans="1:8" ht="18.5">
      <c r="A30" s="240" t="s">
        <v>1935</v>
      </c>
      <c r="C30" s="245" t="s">
        <v>1936</v>
      </c>
      <c r="D30" s="245" t="s">
        <v>1937</v>
      </c>
      <c r="E30" s="245" t="s">
        <v>1938</v>
      </c>
      <c r="F30" s="246" t="s">
        <v>1939</v>
      </c>
      <c r="G30" s="247" t="s">
        <v>1940</v>
      </c>
      <c r="H30" s="245"/>
    </row>
    <row r="31" spans="1:12" ht="29">
      <c r="A31" s="248"/>
      <c r="B31" s="248" t="s">
        <v>1941</v>
      </c>
      <c r="C31" s="245" t="s">
        <v>1942</v>
      </c>
      <c r="D31" s="245" t="s">
        <v>1943</v>
      </c>
      <c r="E31" s="245" t="s">
        <v>1944</v>
      </c>
      <c r="F31" s="245" t="s">
        <v>1945</v>
      </c>
      <c r="G31" s="247" t="s">
        <v>1946</v>
      </c>
      <c r="H31" s="245" t="s">
        <v>50</v>
      </c>
      <c r="I31" s="266" t="s">
        <v>1975</v>
      </c>
      <c r="J31" s="266" t="s">
        <v>1976</v>
      </c>
      <c r="K31" s="267" t="s">
        <v>1977</v>
      </c>
      <c r="L31" s="267" t="s">
        <v>1978</v>
      </c>
    </row>
    <row r="32" spans="1:12" ht="14.5">
      <c r="A32" s="248" t="s">
        <v>1947</v>
      </c>
      <c r="B32" s="249"/>
      <c r="C32" s="250"/>
      <c r="D32" s="250"/>
      <c r="E32" s="250"/>
      <c r="F32" s="250"/>
      <c r="G32" s="251"/>
      <c r="H32" s="250">
        <f>SUM(C32:G32)</f>
        <v>0</v>
      </c>
      <c r="I32" s="268">
        <f>H32</f>
        <v>0</v>
      </c>
      <c r="J32" s="268"/>
      <c r="K32" s="269"/>
      <c r="L32" s="249"/>
    </row>
    <row r="33" spans="1:12" ht="14.5">
      <c r="A33" s="248" t="s">
        <v>1947</v>
      </c>
      <c r="B33" s="249"/>
      <c r="C33" s="250"/>
      <c r="D33" s="250"/>
      <c r="E33" s="250"/>
      <c r="F33" s="250"/>
      <c r="G33" s="251"/>
      <c r="H33" s="250">
        <f>SUM(C33:G33)</f>
        <v>0</v>
      </c>
      <c r="I33" s="268">
        <f>H33</f>
        <v>0</v>
      </c>
      <c r="J33" s="268"/>
      <c r="K33" s="269"/>
      <c r="L33" s="249"/>
    </row>
    <row r="34" spans="1:12" ht="14.5">
      <c r="A34" s="248" t="s">
        <v>1947</v>
      </c>
      <c r="B34" s="249"/>
      <c r="C34" s="250"/>
      <c r="D34" s="250"/>
      <c r="E34" s="250"/>
      <c r="F34" s="250"/>
      <c r="G34" s="251"/>
      <c r="H34" s="250">
        <f>SUM(C34:G34)</f>
        <v>0</v>
      </c>
      <c r="I34" s="268">
        <f>H34</f>
        <v>0</v>
      </c>
      <c r="J34" s="268"/>
      <c r="K34" s="269"/>
      <c r="L34" s="249"/>
    </row>
    <row r="35" spans="1:12" ht="14.5">
      <c r="A35" s="248" t="s">
        <v>1927</v>
      </c>
      <c r="B35" s="249"/>
      <c r="C35" s="250"/>
      <c r="D35" s="250"/>
      <c r="E35" s="250"/>
      <c r="F35" s="250"/>
      <c r="G35" s="251"/>
      <c r="H35" s="250">
        <f>SUM(C35:G35)</f>
        <v>0</v>
      </c>
      <c r="I35" s="268">
        <f>H35</f>
        <v>0</v>
      </c>
      <c r="J35" s="268"/>
      <c r="K35" s="269"/>
      <c r="L35" s="249"/>
    </row>
    <row r="36" spans="1:12" ht="14.5">
      <c r="A36" s="248" t="s">
        <v>1927</v>
      </c>
      <c r="B36" s="249"/>
      <c r="C36" s="250"/>
      <c r="D36" s="250"/>
      <c r="E36" s="250"/>
      <c r="F36" s="250"/>
      <c r="G36" s="251"/>
      <c r="H36" s="250">
        <f>SUM(C36:G36)</f>
        <v>0</v>
      </c>
      <c r="I36" s="268">
        <f>H36</f>
        <v>0</v>
      </c>
      <c r="J36" s="268"/>
      <c r="K36" s="269"/>
      <c r="L36" s="249"/>
    </row>
    <row r="37" spans="1:12" ht="14.5">
      <c r="A37" s="248" t="s">
        <v>1927</v>
      </c>
      <c r="B37" s="249"/>
      <c r="C37" s="250"/>
      <c r="D37" s="250"/>
      <c r="E37" s="250"/>
      <c r="F37" s="250"/>
      <c r="G37" s="251"/>
      <c r="H37" s="250">
        <f>SUM(C37:G37)</f>
        <v>0</v>
      </c>
      <c r="I37" s="268">
        <f>H37</f>
        <v>0</v>
      </c>
      <c r="J37" s="268"/>
      <c r="K37" s="269"/>
      <c r="L37" s="249"/>
    </row>
    <row r="38" spans="1:12" ht="14.5">
      <c r="A38" s="248" t="s">
        <v>1927</v>
      </c>
      <c r="B38" s="249"/>
      <c r="C38" s="250"/>
      <c r="D38" s="250"/>
      <c r="E38" s="250"/>
      <c r="F38" s="250"/>
      <c r="G38" s="251"/>
      <c r="H38" s="250">
        <f>SUM(C38:G38)</f>
        <v>0</v>
      </c>
      <c r="I38" s="268">
        <f>H38</f>
        <v>0</v>
      </c>
      <c r="J38" s="268"/>
      <c r="K38" s="269"/>
      <c r="L38" s="249"/>
    </row>
    <row r="39" spans="1:12" ht="14.5">
      <c r="A39" s="248" t="s">
        <v>1927</v>
      </c>
      <c r="B39" s="249"/>
      <c r="C39" s="250"/>
      <c r="D39" s="250"/>
      <c r="E39" s="250"/>
      <c r="F39" s="250"/>
      <c r="G39" s="251"/>
      <c r="H39" s="250">
        <f>SUM(C39:G39)</f>
        <v>0</v>
      </c>
      <c r="I39" s="268">
        <f>H39</f>
        <v>0</v>
      </c>
      <c r="J39" s="268"/>
      <c r="K39" s="269"/>
      <c r="L39" s="249"/>
    </row>
    <row r="40" spans="1:12" ht="14.5">
      <c r="A40" s="248" t="s">
        <v>1927</v>
      </c>
      <c r="B40" s="249"/>
      <c r="C40" s="250"/>
      <c r="D40" s="250"/>
      <c r="E40" s="250"/>
      <c r="F40" s="250"/>
      <c r="G40" s="251"/>
      <c r="H40" s="250">
        <f>SUM(C40:G40)</f>
        <v>0</v>
      </c>
      <c r="I40" s="268">
        <f>H40</f>
        <v>0</v>
      </c>
      <c r="J40" s="268"/>
      <c r="K40" s="269"/>
      <c r="L40" s="249"/>
    </row>
    <row r="41" spans="1:12" ht="14.5">
      <c r="A41" s="248" t="s">
        <v>1927</v>
      </c>
      <c r="B41" s="249"/>
      <c r="C41" s="250"/>
      <c r="D41" s="250"/>
      <c r="E41" s="250"/>
      <c r="F41" s="250"/>
      <c r="G41" s="251"/>
      <c r="H41" s="250">
        <f>SUM(C41:G41)</f>
        <v>0</v>
      </c>
      <c r="I41" s="268">
        <f>H41</f>
        <v>0</v>
      </c>
      <c r="J41" s="268"/>
      <c r="K41" s="269"/>
      <c r="L41" s="249"/>
    </row>
    <row r="42" spans="1:12" ht="14.5">
      <c r="A42" s="248" t="s">
        <v>1927</v>
      </c>
      <c r="B42" s="249"/>
      <c r="C42" s="250"/>
      <c r="D42" s="250"/>
      <c r="E42" s="250"/>
      <c r="F42" s="250"/>
      <c r="G42" s="251"/>
      <c r="H42" s="250">
        <f>SUM(C42:G42)</f>
        <v>0</v>
      </c>
      <c r="I42" s="268">
        <f>H42</f>
        <v>0</v>
      </c>
      <c r="J42" s="268"/>
      <c r="K42" s="269"/>
      <c r="L42" s="249"/>
    </row>
  </sheetData>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9">
    <tabColor rgb="FFFFFF00"/>
  </sheetPr>
  <dimension ref="A1:H19"/>
  <sheetViews>
    <sheetView view="normal" workbookViewId="0">
      <selection pane="topLeft" activeCell="B21" sqref="B21"/>
    </sheetView>
  </sheetViews>
  <sheetFormatPr defaultColWidth="51.453125" defaultRowHeight="12.5"/>
  <cols>
    <col min="1" max="1" width="49.7109375" customWidth="1"/>
    <col min="2" max="2" width="36" customWidth="1"/>
    <col min="3" max="3" width="11.5703125" customWidth="1"/>
    <col min="4" max="65" width="8.5703125" customWidth="1"/>
  </cols>
  <sheetData>
    <row r="1" spans="4:7">
      <c r="D1" s="239"/>
      <c r="E1" s="239"/>
      <c r="F1" s="239"/>
      <c r="G1" s="239"/>
    </row>
    <row r="2" spans="1:8" ht="14.5">
      <c r="A2" s="32" t="s">
        <v>1853</v>
      </c>
      <c r="B2" s="34">
        <f>'Per patient Arm 2'!AV47*'Study Information &amp; rates'!B28+'Per patient Arm 1'!AU46*'Study Information &amp; rates'!B27+'Per patient Arm 3'!AV47*'Study Information &amp; rates'!B29+'Per patient Arm 4'!AV47*'Study Information &amp; rates'!B30+'Per patient Arm 5'!AV47*'Study Information &amp; rates'!B31</f>
        <v>0</v>
      </c>
      <c r="C2" s="239"/>
      <c r="D2" s="239"/>
      <c r="E2" s="239"/>
      <c r="F2" s="239"/>
      <c r="G2" s="239"/>
      <c r="H2"/>
    </row>
    <row r="3" spans="1:7" customFormat="1" ht="14.5">
      <c r="A3" s="32" t="s">
        <v>2075</v>
      </c>
      <c r="B3" s="34">
        <f>Radiology!K43+Radiology!K30+Radiology!K17</f>
        <v>0</v>
      </c>
      <c r="C3" s="239"/>
      <c r="D3" s="239"/>
      <c r="E3" s="239"/>
      <c r="F3" s="239"/>
      <c r="G3" s="239"/>
    </row>
    <row r="4" spans="1:7" ht="14.5">
      <c r="A4" s="31" t="s">
        <v>2074</v>
      </c>
      <c r="B4" s="34">
        <f>Pathology!J31+Pathology!J17</f>
        <v>0</v>
      </c>
      <c r="D4" s="239"/>
      <c r="E4" s="252"/>
      <c r="F4" s="239"/>
      <c r="G4" s="239"/>
    </row>
    <row r="5" spans="1:7" ht="14.5">
      <c r="A5" s="33" t="s">
        <v>36</v>
      </c>
      <c r="B5" s="254">
        <f>'Additional Study Activities'!N27</f>
        <v>0</v>
      </c>
      <c r="D5" s="239"/>
      <c r="E5" s="239"/>
      <c r="F5" s="239"/>
      <c r="G5" s="239"/>
    </row>
    <row r="6" spans="1:7" ht="14.5">
      <c r="A6" s="33" t="s">
        <v>37</v>
      </c>
      <c r="B6" s="255">
        <f>'Set-up and other costs'!C10</f>
        <v>500</v>
      </c>
      <c r="D6" s="239"/>
      <c r="E6" s="239"/>
      <c r="F6" s="239"/>
      <c r="G6" s="239"/>
    </row>
    <row r="7" spans="1:7" ht="14.5">
      <c r="A7" s="33" t="s">
        <v>38</v>
      </c>
      <c r="B7" s="255">
        <f>'Additional Study Activities'!N63+'Additional Study Activities'!N46+'Additional Study Activities'!N27</f>
        <v>0</v>
      </c>
      <c r="D7" s="239"/>
      <c r="E7" s="239"/>
      <c r="F7" s="239"/>
      <c r="G7" s="239"/>
    </row>
    <row r="8" spans="1:7" ht="14.5">
      <c r="A8" s="33" t="s">
        <v>51</v>
      </c>
      <c r="B8" s="254">
        <f>Pharmacy!J44+Pharmacy!J27+Pharmacy!J17</f>
        <v>0</v>
      </c>
      <c r="D8" s="239"/>
      <c r="E8" s="239"/>
      <c r="F8" s="239"/>
      <c r="G8" s="239"/>
    </row>
    <row r="9" spans="1:7">
      <c r="A9" s="14"/>
      <c r="B9" s="256"/>
      <c r="D9" s="239"/>
      <c r="E9" s="239"/>
      <c r="F9" s="239"/>
      <c r="G9" s="239"/>
    </row>
    <row r="10" spans="1:7" ht="14.5">
      <c r="A10" s="52" t="s">
        <v>62</v>
      </c>
      <c r="B10" s="257">
        <f>SUM(B2:B8)</f>
        <v>500</v>
      </c>
      <c r="D10" s="239"/>
      <c r="E10" s="239"/>
      <c r="F10" s="239"/>
      <c r="G10" s="239"/>
    </row>
    <row r="11" spans="1:7" ht="14.5">
      <c r="A11" s="52" t="s">
        <v>64</v>
      </c>
      <c r="B11" s="258">
        <v>0</v>
      </c>
      <c r="D11" s="239"/>
      <c r="E11" s="239"/>
      <c r="F11" s="239"/>
      <c r="G11" s="239"/>
    </row>
    <row r="12" spans="1:2" ht="14.5">
      <c r="A12" s="52" t="s">
        <v>63</v>
      </c>
      <c r="B12" s="259">
        <f>B10+B11</f>
        <v>500</v>
      </c>
    </row>
    <row r="13" spans="1:2">
      <c r="A13" s="14"/>
      <c r="B13" s="260"/>
    </row>
    <row r="14" spans="1:2">
      <c r="A14" s="14"/>
      <c r="B14" s="30"/>
    </row>
    <row r="15" spans="1:2">
      <c r="A15" s="14"/>
      <c r="B15" s="30"/>
    </row>
    <row r="16" spans="1:2">
      <c r="A16" s="14"/>
      <c r="B16" s="56"/>
    </row>
    <row r="17" spans="1:2">
      <c r="A17" s="14"/>
      <c r="B17" s="56"/>
    </row>
    <row r="18" spans="1:2">
      <c r="A18" s="14"/>
      <c r="B18" s="56"/>
    </row>
    <row r="19" spans="1:2">
      <c r="A19" s="14"/>
      <c r="B19" s="56"/>
    </row>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2"/>
  <dimension ref="A1:E40"/>
  <sheetViews>
    <sheetView view="normal" workbookViewId="0">
      <selection pane="topLeft" activeCell="A39" sqref="A39"/>
    </sheetView>
  </sheetViews>
  <sheetFormatPr defaultColWidth="87.453125" defaultRowHeight="12.5"/>
  <cols>
    <col min="1" max="1" width="44.7109375" customWidth="1"/>
    <col min="3" max="3" width="10" customWidth="1"/>
    <col min="4" max="4" width="9.140625" customWidth="1"/>
    <col min="5" max="5" width="9.5703125" customWidth="1"/>
  </cols>
  <sheetData>
    <row r="1" spans="1:5" s="14" customFormat="1" ht="14">
      <c r="A1" s="179"/>
      <c r="C1" s="180"/>
      <c r="D1" s="180"/>
      <c r="E1" s="180"/>
    </row>
    <row r="2" spans="1:2">
      <c r="A2"/>
      <c r="B2"/>
    </row>
    <row r="3" spans="1:2">
      <c r="A3"/>
      <c r="B3"/>
    </row>
    <row r="4" spans="1:2" ht="14.5">
      <c r="A4" s="189" t="s">
        <v>1855</v>
      </c>
      <c r="B4"/>
    </row>
    <row r="5" spans="1:2">
      <c r="A5" t="s">
        <v>2073</v>
      </c>
      <c r="B5"/>
    </row>
    <row r="6" spans="1:2">
      <c r="A6" t="s">
        <v>2012</v>
      </c>
      <c r="B6"/>
    </row>
    <row r="7" spans="1:2">
      <c r="A7" t="s">
        <v>2013</v>
      </c>
      <c r="B7"/>
    </row>
    <row r="8" spans="1:1" customFormat="1">
      <c r="A8" t="s">
        <v>2025</v>
      </c>
    </row>
    <row r="9" spans="1:2">
      <c r="A9" t="s">
        <v>1858</v>
      </c>
      <c r="B9"/>
    </row>
    <row r="10" spans="1:2">
      <c r="A10"/>
      <c r="B10"/>
    </row>
    <row r="11" spans="1:2" ht="14.5">
      <c r="A11" s="284" t="s">
        <v>1695</v>
      </c>
      <c r="B11"/>
    </row>
    <row r="12" spans="1:2" ht="14.5">
      <c r="A12" s="284" t="s">
        <v>2009</v>
      </c>
      <c r="B12"/>
    </row>
    <row r="13" spans="1:2" ht="14.5">
      <c r="A13" s="284" t="s">
        <v>2139</v>
      </c>
      <c r="B13"/>
    </row>
    <row r="14" spans="1:2" ht="14.5">
      <c r="A14" s="284" t="s">
        <v>2140</v>
      </c>
      <c r="B14"/>
    </row>
    <row r="15" spans="1:2">
      <c r="A15"/>
      <c r="B15"/>
    </row>
    <row r="16" spans="1:2">
      <c r="A16" s="233" t="s">
        <v>1930</v>
      </c>
      <c r="B16"/>
    </row>
    <row r="17" spans="1:2">
      <c r="A17" s="233" t="s">
        <v>1705</v>
      </c>
      <c r="B17"/>
    </row>
    <row r="18" spans="1:2">
      <c r="A18" s="233" t="s">
        <v>2007</v>
      </c>
      <c r="B18"/>
    </row>
    <row r="19" spans="1:1" customFormat="1">
      <c r="A19" s="233" t="s">
        <v>1931</v>
      </c>
    </row>
    <row r="20" spans="1:2">
      <c r="A20" s="233" t="s">
        <v>2008</v>
      </c>
      <c r="B20"/>
    </row>
    <row r="21" spans="1:2">
      <c r="A21"/>
      <c r="B21"/>
    </row>
    <row r="22" spans="1:2">
      <c r="A22" s="285" t="s">
        <v>2014</v>
      </c>
      <c r="B22" t="s">
        <v>2015</v>
      </c>
    </row>
    <row r="23" spans="1:2">
      <c r="A23" s="285" t="s">
        <v>2016</v>
      </c>
      <c r="B23" t="s">
        <v>2156</v>
      </c>
    </row>
    <row r="24" spans="1:2" customFormat="1">
      <c r="A24" s="285" t="s">
        <v>2154</v>
      </c>
      <c r="B24" t="s">
        <v>2017</v>
      </c>
    </row>
    <row r="25" spans="1:2" customFormat="1">
      <c r="A25" s="285" t="s">
        <v>2155</v>
      </c>
      <c r="B25" t="s">
        <v>2017</v>
      </c>
    </row>
    <row r="26" spans="1:2">
      <c r="A26" s="285" t="s">
        <v>2153</v>
      </c>
      <c r="B26" t="s">
        <v>2017</v>
      </c>
    </row>
    <row r="27" spans="1:2">
      <c r="A27" s="285" t="s">
        <v>2018</v>
      </c>
      <c r="B27" t="s">
        <v>2019</v>
      </c>
    </row>
    <row r="28" spans="1:2">
      <c r="A28"/>
      <c r="B28"/>
    </row>
    <row r="29" spans="1:2">
      <c r="A29" s="285" t="s">
        <v>1931</v>
      </c>
      <c r="B29"/>
    </row>
    <row r="30" spans="1:2">
      <c r="A30" s="285" t="s">
        <v>2007</v>
      </c>
      <c r="B30"/>
    </row>
    <row r="31" spans="1:2">
      <c r="A31" s="285" t="s">
        <v>2151</v>
      </c>
      <c r="B31"/>
    </row>
    <row r="32" spans="1:2">
      <c r="A32"/>
      <c r="B32"/>
    </row>
    <row r="33" spans="1:2">
      <c r="A33" s="285" t="s">
        <v>1912</v>
      </c>
      <c r="B33" s="250">
        <f>(SUMIF('Per patient Arm 2'!$B$9:$B$47,"Research Cost A",'Per patient Arm 2'!$BW$9:$BW$47))*'Study Information &amp; rates'!$B$27+(SUMIF('Per patient Arm 1'!$B$8:$B$46,"Research Cost A",'Per patient Arm 1'!$BW$8:$BW$46))*'Study Information &amp; rates'!$B$28+(SUMIF('Per patient Arm 3'!$B$9:$B$47,"Research Cost A",'Per patient Arm 3'!$BW$9:$BW$47))*'Study Information &amp; rates'!$B$29+(SUMIF('Per patient Arm 4'!$B$9:$B$47,"Research Cost A",'Per patient Arm 4'!$BW$9:$BW$47))*'Study Information &amp; rates'!$B$30+(SUMIF('Per patient Arm 5'!$B$9:$B$47,"Research Cost A",'Per patient Arm 5'!$BW$9:$BW$47))*'Study Information &amp; rates'!$B$31</f>
        <v>0</v>
      </c>
    </row>
    <row r="34" spans="1:2">
      <c r="A34" s="285" t="s">
        <v>1913</v>
      </c>
      <c r="B34"/>
    </row>
    <row r="35" spans="1:2">
      <c r="A35"/>
      <c r="B35"/>
    </row>
    <row r="36" spans="1:2">
      <c r="A36" s="285" t="s">
        <v>2166</v>
      </c>
      <c r="B36"/>
    </row>
    <row r="37" spans="1:2">
      <c r="A37" s="285" t="s">
        <v>2165</v>
      </c>
      <c r="B37"/>
    </row>
    <row r="38" spans="1:2">
      <c r="A38" s="285" t="s">
        <v>2163</v>
      </c>
      <c r="B38"/>
    </row>
    <row r="39" spans="1:2">
      <c r="A39" s="285" t="s">
        <v>2164</v>
      </c>
      <c r="B39"/>
    </row>
    <row r="40" spans="1:1">
      <c r="A40" s="285" t="s">
        <v>2162</v>
      </c>
    </row>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I133"/>
  <sheetViews>
    <sheetView topLeftCell="A25" zoomScale="60" view="normal" workbookViewId="0">
      <selection pane="topLeft" activeCell="C45" sqref="C45"/>
    </sheetView>
  </sheetViews>
  <sheetFormatPr defaultColWidth="9" defaultRowHeight="12.5"/>
  <cols>
    <col min="1" max="1" width="60.5703125" style="352" customWidth="1"/>
    <col min="2" max="2" width="22.7109375" style="352" customWidth="1"/>
    <col min="3" max="3" width="30" style="352" customWidth="1"/>
    <col min="4" max="4" width="27.7109375" style="352" customWidth="1"/>
    <col min="5" max="5" width="17.41796875" style="352" customWidth="1"/>
    <col min="6" max="6" width="19.41796875" style="352" customWidth="1"/>
    <col min="7" max="7" width="27.7109375" style="352" customWidth="1"/>
    <col min="8" max="8" width="37.140625" style="352" customWidth="1"/>
    <col min="9" max="9" width="27.7109375" style="352" customWidth="1"/>
    <col min="10" max="10" width="13.27734375" style="352" hidden="1" customWidth="1"/>
    <col min="11" max="11" width="24.7109375" style="352" hidden="1" customWidth="1"/>
    <col min="12" max="12" width="23.140625" style="352" hidden="1" customWidth="1"/>
    <col min="13" max="13" width="9" style="352" hidden="1" customWidth="1"/>
    <col min="14" max="14" width="23.5703125" style="352" hidden="1" customWidth="1"/>
    <col min="15" max="15" width="22.27734375" style="352" hidden="1" customWidth="1"/>
    <col min="16" max="17" width="9" style="352" hidden="1" customWidth="1"/>
    <col min="18" max="18" width="20" style="352" hidden="1" customWidth="1"/>
    <col min="19" max="20" width="21.41796875" style="352" hidden="1" customWidth="1"/>
    <col min="21" max="22" width="9" style="352" hidden="1" customWidth="1"/>
    <col min="23" max="23" width="42.84765625" style="352" hidden="1" customWidth="1"/>
    <col min="24" max="25" width="38.5703125" style="352" hidden="1" customWidth="1"/>
    <col min="26" max="26" width="38.84765625" style="352" hidden="1" customWidth="1"/>
    <col min="27" max="29" width="9" style="352" hidden="1" customWidth="1"/>
    <col min="30" max="16384" width="9" style="352" customWidth="1"/>
  </cols>
  <sheetData>
    <row r="1" spans="1:32" ht="13" thickBot="1">
      <c r="A1" s="831"/>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row>
    <row r="2" spans="1:32" ht="20.5" thickBot="1">
      <c r="A2" s="832" t="s">
        <v>2278</v>
      </c>
      <c r="B2" s="1046">
        <f>C13</f>
        <v>500</v>
      </c>
      <c r="C2" s="1047"/>
      <c r="D2" s="831"/>
      <c r="E2" s="1008" t="s">
        <v>2469</v>
      </c>
      <c r="F2" s="1006"/>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row>
    <row r="3" spans="1:32" ht="16" thickBot="1">
      <c r="A3" s="833"/>
      <c r="B3" s="834"/>
      <c r="C3" s="834"/>
      <c r="D3" s="831"/>
      <c r="E3" s="1008" t="s">
        <v>2470</v>
      </c>
      <c r="F3" s="1007"/>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row>
    <row r="4" spans="1:32" ht="19.5" customHeight="1">
      <c r="A4" s="835" t="s">
        <v>2264</v>
      </c>
      <c r="B4" s="836" t="s">
        <v>2425</v>
      </c>
      <c r="C4" s="836" t="s">
        <v>2426</v>
      </c>
      <c r="D4" s="834"/>
      <c r="E4" s="837"/>
      <c r="F4" s="838"/>
      <c r="G4" s="839" t="s">
        <v>2266</v>
      </c>
      <c r="H4" s="840" t="s">
        <v>81</v>
      </c>
      <c r="I4" s="841">
        <f>IF('Study Information &amp; rates'!B19="No",SUM('UHS Individual cost'!K3:L9),SUM('UHS Individual cost'!K3:K9))</f>
        <v>0</v>
      </c>
      <c r="J4" s="831"/>
      <c r="K4" s="831"/>
      <c r="L4" s="831"/>
      <c r="M4" s="831"/>
      <c r="N4" s="831"/>
      <c r="O4" s="831"/>
      <c r="P4" s="831"/>
      <c r="Q4" s="831"/>
      <c r="R4" s="831"/>
      <c r="S4" s="831"/>
      <c r="T4" s="831"/>
      <c r="U4" s="831"/>
      <c r="V4" s="831"/>
      <c r="W4" s="831"/>
      <c r="X4" s="831"/>
      <c r="Y4" s="831"/>
      <c r="Z4" s="831"/>
      <c r="AA4" s="831"/>
      <c r="AB4" s="831"/>
      <c r="AC4" s="831"/>
      <c r="AD4" s="831"/>
      <c r="AE4" s="831"/>
      <c r="AF4" s="831"/>
    </row>
    <row r="5" spans="1:32" ht="19.5" customHeight="1">
      <c r="A5" s="842" t="s">
        <v>2057</v>
      </c>
      <c r="B5" s="843">
        <f>B16</f>
        <v>0</v>
      </c>
      <c r="C5" s="843">
        <f>B16</f>
        <v>0</v>
      </c>
      <c r="D5" s="844"/>
      <c r="E5" s="837"/>
      <c r="F5" s="838"/>
      <c r="G5" s="845"/>
      <c r="H5" s="846"/>
      <c r="I5" s="847"/>
      <c r="J5" s="831"/>
      <c r="K5" s="831"/>
      <c r="L5" s="831"/>
      <c r="M5" s="831"/>
      <c r="N5" s="831"/>
      <c r="O5" s="831"/>
      <c r="P5" s="831"/>
      <c r="Q5" s="831"/>
      <c r="R5" s="831"/>
      <c r="S5" s="831"/>
      <c r="T5" s="831"/>
      <c r="U5" s="831"/>
      <c r="V5" s="831"/>
      <c r="W5" s="831"/>
      <c r="X5" s="831"/>
      <c r="Y5" s="831"/>
      <c r="Z5" s="831"/>
      <c r="AA5" s="831"/>
      <c r="AB5" s="831"/>
      <c r="AC5" s="831"/>
      <c r="AD5" s="831"/>
      <c r="AE5" s="831"/>
      <c r="AF5" s="831"/>
    </row>
    <row r="6" spans="1:32" ht="19.5" customHeight="1">
      <c r="A6" s="848" t="s">
        <v>2314</v>
      </c>
      <c r="B6" s="849">
        <f>I44</f>
        <v>500</v>
      </c>
      <c r="C6" s="850"/>
      <c r="D6" s="851"/>
      <c r="E6" s="838"/>
      <c r="F6" s="838"/>
      <c r="G6" s="839" t="s">
        <v>2265</v>
      </c>
      <c r="H6" s="840" t="s">
        <v>81</v>
      </c>
      <c r="I6" s="852">
        <f>IF('Study Information &amp; rates'!B19="No",SUM(E20:F24,'UHS Individual cost'!K13:L18,'UHS Individual cost'!K22:L26),SUM('Total Summary and Budget'!E20:E24,'UHS Individual cost'!K13:K18,'UHS Individual cost'!K22:K26))</f>
        <v>0</v>
      </c>
      <c r="J6" s="831"/>
      <c r="K6" s="831"/>
      <c r="L6" s="831"/>
      <c r="M6" s="831"/>
      <c r="N6" s="831"/>
      <c r="O6" s="831"/>
      <c r="P6" s="831"/>
      <c r="Q6" s="831"/>
      <c r="R6" s="831"/>
      <c r="S6" s="831"/>
      <c r="T6" s="831"/>
      <c r="U6" s="831"/>
      <c r="V6" s="831"/>
      <c r="W6" s="831"/>
      <c r="X6" s="831"/>
      <c r="Y6" s="831"/>
      <c r="Z6" s="831"/>
      <c r="AA6" s="831"/>
      <c r="AB6" s="831"/>
      <c r="AC6" s="831"/>
      <c r="AD6" s="831"/>
      <c r="AE6" s="831"/>
      <c r="AF6" s="831"/>
    </row>
    <row r="7" spans="1:32" ht="19.5" customHeight="1">
      <c r="A7" s="842" t="s">
        <v>2315</v>
      </c>
      <c r="B7" s="843">
        <f>D44</f>
        <v>0</v>
      </c>
      <c r="C7" s="843"/>
      <c r="D7" s="853" t="s">
        <v>2040</v>
      </c>
      <c r="E7" s="831"/>
      <c r="F7" s="838"/>
      <c r="G7" s="854"/>
      <c r="H7" s="831"/>
      <c r="I7" s="855"/>
      <c r="J7" s="831"/>
      <c r="K7" s="831"/>
      <c r="L7" s="831"/>
      <c r="M7" s="831"/>
      <c r="N7" s="831"/>
      <c r="O7" s="831"/>
      <c r="P7" s="831"/>
      <c r="Q7" s="831"/>
      <c r="R7" s="831"/>
      <c r="S7" s="831"/>
      <c r="T7" s="831"/>
      <c r="U7" s="831"/>
      <c r="V7" s="831"/>
      <c r="W7" s="831"/>
      <c r="X7" s="831"/>
      <c r="Y7" s="831"/>
      <c r="Z7" s="831"/>
      <c r="AA7" s="831"/>
      <c r="AB7" s="831"/>
      <c r="AC7" s="831"/>
      <c r="AD7" s="831"/>
      <c r="AE7" s="831"/>
      <c r="AF7" s="831"/>
    </row>
    <row r="8" spans="1:32" ht="19.5" customHeight="1">
      <c r="A8" s="856" t="s">
        <v>2316</v>
      </c>
      <c r="B8" s="843">
        <f>E44</f>
        <v>500</v>
      </c>
      <c r="C8" s="843">
        <f>E44+C38</f>
        <v>500</v>
      </c>
      <c r="D8" s="853"/>
      <c r="E8" s="831"/>
      <c r="F8" s="831"/>
      <c r="G8" s="854"/>
      <c r="H8" s="840" t="s">
        <v>2269</v>
      </c>
      <c r="I8" s="855">
        <f>IF('Study Information &amp; rates'!B19="No",SUM(E25:F33,E36:F36,E39:F40,E35),SUM('Total Summary and Budget'!E25:E33,E36,E39:E40,E35))</f>
        <v>500</v>
      </c>
      <c r="J8" s="831"/>
      <c r="K8" s="831"/>
      <c r="L8" s="831"/>
      <c r="M8" s="831"/>
      <c r="N8" s="831"/>
      <c r="O8" s="831"/>
      <c r="P8" s="831"/>
      <c r="Q8" s="831"/>
      <c r="R8" s="831"/>
      <c r="S8" s="831"/>
      <c r="T8" s="831"/>
      <c r="U8" s="831"/>
      <c r="V8" s="831"/>
      <c r="W8" s="831"/>
      <c r="X8" s="831"/>
      <c r="Y8" s="831"/>
      <c r="Z8" s="831"/>
      <c r="AA8" s="831"/>
      <c r="AB8" s="831"/>
      <c r="AC8" s="831"/>
      <c r="AD8" s="831"/>
      <c r="AE8" s="831"/>
      <c r="AF8" s="831"/>
    </row>
    <row r="9" spans="1:32" ht="19.5" customHeight="1">
      <c r="A9" s="856" t="s">
        <v>2317</v>
      </c>
      <c r="B9" s="843">
        <f>F44</f>
        <v>0</v>
      </c>
      <c r="C9" s="843">
        <f>IF(B116="Yes",0,F44)</f>
        <v>0</v>
      </c>
      <c r="D9" s="853" t="s">
        <v>2039</v>
      </c>
      <c r="E9" s="831"/>
      <c r="F9" s="838"/>
      <c r="G9" s="857"/>
      <c r="H9" s="858"/>
      <c r="I9" s="847"/>
      <c r="J9" s="831"/>
      <c r="K9" s="831"/>
      <c r="L9" s="831"/>
      <c r="M9" s="831"/>
      <c r="N9" s="831"/>
      <c r="O9" s="831"/>
      <c r="P9" s="831"/>
      <c r="Q9" s="831"/>
      <c r="R9" s="831"/>
      <c r="S9" s="831"/>
      <c r="T9" s="831"/>
      <c r="U9" s="831"/>
      <c r="V9" s="831"/>
      <c r="W9" s="831"/>
      <c r="X9" s="831"/>
      <c r="Y9" s="831"/>
      <c r="Z9" s="831"/>
      <c r="AA9" s="831"/>
      <c r="AB9" s="831"/>
      <c r="AC9" s="831"/>
      <c r="AD9" s="831"/>
      <c r="AE9" s="831"/>
      <c r="AF9" s="831"/>
    </row>
    <row r="10" spans="1:32" ht="19.5" customHeight="1">
      <c r="A10" s="856" t="s">
        <v>2318</v>
      </c>
      <c r="B10" s="843">
        <f>G44</f>
        <v>0</v>
      </c>
      <c r="C10" s="843"/>
      <c r="D10" s="853" t="s">
        <v>2042</v>
      </c>
      <c r="E10" s="831"/>
      <c r="F10" s="838"/>
      <c r="G10" s="857" t="s">
        <v>2270</v>
      </c>
      <c r="H10" s="840" t="s">
        <v>2268</v>
      </c>
      <c r="I10" s="855">
        <f>E34+C38</f>
        <v>0</v>
      </c>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row>
    <row r="11" spans="1:32" ht="19.5" customHeight="1">
      <c r="A11" s="856" t="s">
        <v>2319</v>
      </c>
      <c r="B11" s="843">
        <f>H44</f>
        <v>0</v>
      </c>
      <c r="C11" s="843"/>
      <c r="D11" s="1048" t="s">
        <v>2041</v>
      </c>
      <c r="E11" s="1049"/>
      <c r="F11" s="1049"/>
      <c r="G11" s="859"/>
      <c r="H11" s="860"/>
      <c r="I11" s="861"/>
      <c r="J11" s="831"/>
      <c r="K11" s="831"/>
      <c r="L11" s="831"/>
      <c r="M11" s="831"/>
      <c r="N11" s="831"/>
      <c r="O11" s="831"/>
      <c r="P11" s="831"/>
      <c r="Q11" s="831"/>
      <c r="R11" s="831"/>
      <c r="S11" s="831"/>
      <c r="T11" s="831"/>
      <c r="U11" s="831"/>
      <c r="V11" s="831"/>
      <c r="W11" s="831"/>
      <c r="X11" s="831"/>
      <c r="Y11" s="831"/>
      <c r="Z11" s="831"/>
      <c r="AA11" s="831"/>
      <c r="AB11" s="831"/>
      <c r="AC11" s="831"/>
      <c r="AD11" s="831"/>
      <c r="AE11" s="831"/>
      <c r="AF11" s="831"/>
    </row>
    <row r="12" spans="1:32" ht="19.5" customHeight="1" thickBot="1">
      <c r="A12" s="862" t="s">
        <v>2119</v>
      </c>
      <c r="B12" s="863">
        <f>C126+D126</f>
        <v>0</v>
      </c>
      <c r="C12" s="863"/>
      <c r="D12" s="864"/>
      <c r="E12" s="844"/>
      <c r="F12" s="838"/>
      <c r="G12" s="865"/>
      <c r="H12" s="866"/>
      <c r="I12" s="867"/>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row>
    <row r="13" spans="1:32" ht="19.5" customHeight="1" thickBot="1">
      <c r="A13" s="868" t="s">
        <v>1996</v>
      </c>
      <c r="B13" s="869">
        <f>B5+B7+B8+B9+B10+B11</f>
        <v>500</v>
      </c>
      <c r="C13" s="870">
        <f>C5+C7+C8+C9+C10+C11</f>
        <v>500</v>
      </c>
      <c r="D13" s="844"/>
      <c r="E13" s="838"/>
      <c r="F13" s="838"/>
      <c r="G13" s="871" t="s">
        <v>2335</v>
      </c>
      <c r="H13" s="872"/>
      <c r="I13" s="873">
        <f>B16+SUM(I4:I10)</f>
        <v>500</v>
      </c>
      <c r="J13" s="831"/>
      <c r="K13" s="831"/>
      <c r="L13" s="831"/>
      <c r="M13" s="831"/>
      <c r="N13" s="831"/>
      <c r="O13" s="831"/>
      <c r="P13" s="831"/>
      <c r="Q13" s="831"/>
      <c r="R13" s="831"/>
      <c r="S13" s="831"/>
      <c r="T13" s="831"/>
      <c r="U13" s="831"/>
      <c r="V13" s="831"/>
      <c r="W13" s="831"/>
      <c r="X13" s="831"/>
      <c r="Y13" s="831"/>
      <c r="Z13" s="831"/>
      <c r="AA13" s="831"/>
      <c r="AB13" s="831"/>
      <c r="AC13" s="831"/>
      <c r="AD13" s="831"/>
      <c r="AE13" s="831"/>
      <c r="AF13" s="831"/>
    </row>
    <row r="14" spans="1:32" ht="19.5" customHeight="1" thickBot="1">
      <c r="A14" s="874"/>
      <c r="B14" s="838"/>
      <c r="C14" s="838"/>
      <c r="D14" s="831"/>
      <c r="E14" s="875"/>
      <c r="F14" s="831"/>
      <c r="G14" s="876" t="s">
        <v>2428</v>
      </c>
      <c r="H14" s="877"/>
      <c r="I14" s="878">
        <f>I43</f>
        <v>0</v>
      </c>
      <c r="J14" s="831"/>
      <c r="K14" s="831"/>
      <c r="L14" s="831"/>
      <c r="M14" s="831"/>
      <c r="N14" s="831"/>
      <c r="O14" s="831"/>
      <c r="P14" s="831"/>
      <c r="Q14" s="831"/>
      <c r="R14" s="831"/>
      <c r="S14" s="831"/>
      <c r="T14" s="831"/>
      <c r="U14" s="831"/>
      <c r="V14" s="831"/>
      <c r="W14" s="831"/>
      <c r="X14" s="831"/>
      <c r="Y14" s="831"/>
      <c r="Z14" s="831"/>
      <c r="AA14" s="831"/>
      <c r="AB14" s="831"/>
      <c r="AC14" s="831"/>
      <c r="AD14" s="831"/>
      <c r="AE14" s="831"/>
      <c r="AF14" s="831"/>
    </row>
    <row r="15" spans="1:32" ht="19.5" customHeight="1" thickBot="1">
      <c r="A15" s="879" t="s">
        <v>2000</v>
      </c>
      <c r="B15" s="831"/>
      <c r="C15" s="831"/>
      <c r="D15" s="831"/>
      <c r="E15" s="880"/>
      <c r="F15" s="831"/>
      <c r="G15" s="881" t="s">
        <v>2337</v>
      </c>
      <c r="H15" s="881"/>
      <c r="I15" s="882">
        <f>I13+I14</f>
        <v>500</v>
      </c>
      <c r="J15" s="831"/>
      <c r="K15" s="831"/>
      <c r="L15" s="831"/>
      <c r="M15" s="831"/>
      <c r="N15" s="831"/>
      <c r="O15" s="831"/>
      <c r="P15" s="831"/>
      <c r="Q15" s="831"/>
      <c r="R15" s="831"/>
      <c r="S15" s="831"/>
      <c r="T15" s="831"/>
      <c r="U15" s="831"/>
      <c r="V15" s="831"/>
      <c r="W15" s="831"/>
      <c r="X15" s="831"/>
      <c r="Y15" s="831"/>
      <c r="Z15" s="831"/>
      <c r="AA15" s="831"/>
      <c r="AB15" s="831"/>
      <c r="AC15" s="831"/>
      <c r="AD15" s="831"/>
      <c r="AE15" s="831"/>
      <c r="AF15" s="831"/>
    </row>
    <row r="16" spans="1:32" s="353" customFormat="1" ht="19.5" customHeight="1">
      <c r="A16" s="883" t="s">
        <v>1914</v>
      </c>
      <c r="B16" s="687"/>
      <c r="C16" s="874"/>
      <c r="D16" s="838"/>
      <c r="E16" s="838"/>
      <c r="F16" s="838"/>
      <c r="G16" s="838"/>
      <c r="H16" s="838"/>
      <c r="I16" s="838"/>
      <c r="J16" s="838"/>
      <c r="K16" s="1035" t="s">
        <v>2001</v>
      </c>
      <c r="L16" s="1036"/>
      <c r="M16" s="838"/>
      <c r="N16" s="838"/>
      <c r="O16" s="838"/>
      <c r="P16" s="838"/>
      <c r="Q16" s="838"/>
      <c r="R16" s="838"/>
      <c r="S16" s="838"/>
      <c r="T16" s="838"/>
      <c r="U16" s="838"/>
      <c r="V16" s="838"/>
      <c r="W16" s="838"/>
      <c r="X16" s="838"/>
      <c r="Y16" s="838"/>
      <c r="Z16" s="838"/>
      <c r="AA16" s="838"/>
      <c r="AB16" s="838"/>
      <c r="AC16" s="838"/>
      <c r="AD16" s="838"/>
      <c r="AE16" s="838"/>
      <c r="AF16" s="838"/>
    </row>
    <row r="17" spans="1:32" s="623" customFormat="1" ht="19.5" customHeight="1" thickBot="1">
      <c r="A17" s="884" t="s">
        <v>2002</v>
      </c>
      <c r="B17" s="884" t="s">
        <v>1941</v>
      </c>
      <c r="C17" s="838"/>
      <c r="D17" s="885" t="s">
        <v>2072</v>
      </c>
      <c r="E17" s="885" t="s">
        <v>2010</v>
      </c>
      <c r="F17" s="885" t="s">
        <v>2011</v>
      </c>
      <c r="G17" s="885" t="s">
        <v>2025</v>
      </c>
      <c r="H17" s="885" t="s">
        <v>1858</v>
      </c>
      <c r="I17" s="886" t="s">
        <v>2056</v>
      </c>
      <c r="J17" s="875"/>
      <c r="K17" s="887" t="s">
        <v>2003</v>
      </c>
      <c r="L17" s="887" t="s">
        <v>2004</v>
      </c>
      <c r="M17" s="875"/>
      <c r="N17" s="875"/>
      <c r="O17" s="875"/>
      <c r="P17" s="875"/>
      <c r="Q17" s="875"/>
      <c r="R17" s="875"/>
      <c r="S17" s="875"/>
      <c r="T17" s="875"/>
      <c r="U17" s="875"/>
      <c r="V17" s="888"/>
      <c r="W17" s="888"/>
      <c r="X17" s="888"/>
      <c r="Y17" s="888"/>
      <c r="Z17" s="875"/>
      <c r="AA17" s="875"/>
      <c r="AB17" s="875"/>
      <c r="AC17" s="875"/>
      <c r="AD17" s="875"/>
      <c r="AE17" s="875"/>
      <c r="AF17" s="875"/>
    </row>
    <row r="18" spans="1:32" ht="19.5" customHeight="1" thickBot="1">
      <c r="A18" s="889" t="s">
        <v>1947</v>
      </c>
      <c r="B18" s="846" t="s">
        <v>2043</v>
      </c>
      <c r="C18" s="838"/>
      <c r="D18" s="890"/>
      <c r="E18" s="891"/>
      <c r="F18" s="892"/>
      <c r="G18" s="893"/>
      <c r="H18" s="894"/>
      <c r="I18" s="895"/>
      <c r="J18" s="831"/>
      <c r="K18" s="896"/>
      <c r="L18" s="896"/>
      <c r="M18" s="831"/>
      <c r="N18" s="831"/>
      <c r="O18" s="831"/>
      <c r="P18" s="831"/>
      <c r="Q18" s="831"/>
      <c r="R18" s="831"/>
      <c r="S18" s="831"/>
      <c r="T18" s="831"/>
      <c r="U18" s="831"/>
      <c r="V18" s="831"/>
      <c r="W18" s="831"/>
      <c r="X18" s="831"/>
      <c r="Y18" s="831"/>
      <c r="Z18" s="831"/>
      <c r="AA18" s="831"/>
      <c r="AB18" s="831"/>
      <c r="AC18" s="831"/>
      <c r="AD18" s="831"/>
      <c r="AE18" s="831"/>
      <c r="AF18" s="831"/>
    </row>
    <row r="19" spans="1:32" ht="19.5" customHeight="1" thickBot="1">
      <c r="A19" s="897"/>
      <c r="B19" s="846"/>
      <c r="C19" s="838"/>
      <c r="D19" s="898"/>
      <c r="E19" s="899"/>
      <c r="F19" s="900"/>
      <c r="G19" s="901"/>
      <c r="H19" s="902"/>
      <c r="I19" s="903"/>
      <c r="J19" s="831"/>
      <c r="K19" s="896"/>
      <c r="L19" s="896"/>
      <c r="M19" s="831"/>
      <c r="N19" s="831"/>
      <c r="O19" s="831"/>
      <c r="P19" s="831"/>
      <c r="Q19" s="831"/>
      <c r="R19" s="831"/>
      <c r="S19" s="831"/>
      <c r="T19" s="831"/>
      <c r="U19" s="831"/>
      <c r="V19" s="831"/>
      <c r="W19" s="831"/>
      <c r="X19" s="831"/>
      <c r="Y19" s="831"/>
      <c r="Z19" s="831"/>
      <c r="AA19" s="831"/>
      <c r="AB19" s="831"/>
      <c r="AC19" s="831"/>
      <c r="AD19" s="831"/>
      <c r="AE19" s="831"/>
      <c r="AF19" s="831"/>
    </row>
    <row r="20" spans="1:32" ht="19.5" customHeight="1" thickBot="1">
      <c r="A20" s="904" t="s">
        <v>96</v>
      </c>
      <c r="B20" s="905"/>
      <c r="C20" s="838"/>
      <c r="D20" s="906">
        <f>((SUMIF('Per patient Arm 2'!$B$8:$B$47,"Service Support Cost",'Per patient Arm 2'!$BQ$8:$BQ$47))*'Study Information &amp; rates'!$B$28+(SUMIF('Per patient Arm 1'!$B$7:$B$46,"Service Support Cost",'Per patient Arm 1'!$BQ$7:$BQ$46))*'Study Information &amp; rates'!$B$27+(SUMIF('Per patient Arm 3'!$B$8:$B$47,"Service Support Cost",'Per patient Arm 3'!$BQ$8:$BQ$47))*'Study Information &amp; rates'!$B$29+(SUMIF('Per patient Arm 4'!$B$8:$B$47,"Service Support Cost",'Per patient Arm 4'!$BQ$8:$BQ$47))*'Study Information &amp; rates'!$B$30+(SUMIF('Per patient Arm 5'!$B$8:$B$47,"Service Support Cost",'Per patient Arm 5'!$BQ$8:$BQ$47))*'Study Information &amp; rates'!$B$31)*'Set-up and other costs'!B18</f>
        <v>0</v>
      </c>
      <c r="E20" s="907">
        <f>((SUMIF('Per patient Arm 2'!$B$8:$B$47,"Research Cost A",'Per patient Arm 2'!$BQ$8:$BQ$47))*'Study Information &amp; rates'!$B$28+(SUMIF('Per patient Arm 1'!$B$7:$B$46,"Research Cost A",'Per patient Arm 1'!$BQ$7:$BQ$46))*'Study Information &amp; rates'!$B$27+(SUMIF('Per patient Arm 3'!$B$8:$B$47,"Research Cost A",'Per patient Arm 3'!$BQ$8:$BQ$47))*'Study Information &amp; rates'!$B$29+(SUMIF('Per patient Arm 4'!$B$8:$B$47,"Research Cost A",'Per patient Arm 4'!$BQ$8:$BQ$47))*'Study Information &amp; rates'!$B$30+(SUMIF('Per patient Arm 5'!$B$8:$B$47,"Research Cost A",'Per patient Arm 5'!$BQ$8:$BQ$47))*'Study Information &amp; rates'!$B$31)*'Set-up and other costs'!B18</f>
        <v>0</v>
      </c>
      <c r="F20" s="908">
        <f>((SUMIF('Per patient Arm 2'!$B$8:$B$47,"Research Cost B",'Per patient Arm 2'!$BQ$8:$BQ$47))*'Study Information &amp; rates'!$B$28+(SUMIF('Per patient Arm 1'!$B$7:$B$46,"Research Cost B",'Per patient Arm 1'!$BQ$7:$BQ$46))*'Study Information &amp; rates'!$B$27+(SUMIF('Per patient Arm 3'!$B$8:$B$47,"Research Cost B",'Per patient Arm 3'!$BQ$8:$BQ$47))*'Study Information &amp; rates'!$B$29+(SUMIF('Per patient Arm 4'!$B$8:$B$47,"Research Cost B",'Per patient Arm 4'!$BQ$8:$BQ$47))*'Study Information &amp; rates'!$B$30+(SUMIF('Per patient Arm 5'!$B$8:$B$47,"Research Cost B",'Per patient Arm 5'!$BQ$8:$BQ$47))*'Study Information &amp; rates'!$B$31)*'Set-up and other costs'!B18</f>
        <v>0</v>
      </c>
      <c r="G20" s="909">
        <f>((SUMIF('Per patient Arm 2'!$B$8:$B$47,"Treatment Costs",'Per patient Arm 2'!$BQ$8:$BQ$47))*'Study Information &amp; rates'!$B$28+(SUMIF('Per patient Arm 1'!$B$7:$B$46,"Treatment Costs",'Per patient Arm 1'!$BQ$7:$BQ$46))*'Study Information &amp; rates'!$B$27+(SUMIF('Per patient Arm 3'!$B$8:$B$47,"Treatment Costs",'Per patient Arm 3'!$BQ$8:$BQ$47))*'Study Information &amp; rates'!$B$29+(SUMIF('Per patient Arm 4'!$B$8:$B$47,"Treatment Costs",'Per patient Arm 4'!$BQ$8:$BQ$47))*'Study Information &amp; rates'!$B$30+(SUMIF('Per patient Arm 5'!$B$8:$B$47,"Treatment Costs",'Per patient Arm 5'!$BQ$8:$BQ$47))*'Study Information &amp; rates'!$B$31)*'Set-up and other costs'!B18</f>
        <v>0</v>
      </c>
      <c r="H20" s="910">
        <f>((SUMIF('Per patient Arm 2'!$B$8:$B$47,"Excess Treatment Costs",'Per patient Arm 2'!$BQ$8:$BQ$47))*'Study Information &amp; rates'!$B$28+(SUMIF('Per patient Arm 1'!$B$7:$B$46,"Excess Treatment Costs",'Per patient Arm 1'!$BQ$7:$BQ$46))*'Study Information &amp; rates'!$B$27+(SUMIF('Per patient Arm 3'!$B$8:$B$47,"Excess Treatment Costs",'Per patient Arm 3'!$BQ$8:$BQ$47))*'Study Information &amp; rates'!$B$29+(SUMIF('Per patient Arm 4'!$B$8:$B$47,"Excess Treatment Costs",'Per patient Arm 4'!$BQ$8:$BQ$47))*'Study Information &amp; rates'!$B$30+(SUMIF('Per patient Arm 5'!$B$8:$B$47,"Excess Treatment Costs",'Per patient Arm 5'!$BQ$8:$BQ$47))*'Study Information &amp; rates'!$B$31)*'Set-up and other costs'!B18</f>
        <v>0</v>
      </c>
      <c r="I20" s="911">
        <f>SUM(D20:H20)</f>
        <v>0</v>
      </c>
      <c r="J20" s="831"/>
      <c r="K20" s="896"/>
      <c r="L20" s="896"/>
      <c r="M20" s="831"/>
      <c r="N20" s="831"/>
      <c r="O20" s="831"/>
      <c r="P20" s="831"/>
      <c r="Q20" s="831"/>
      <c r="R20" s="831"/>
      <c r="S20" s="831"/>
      <c r="T20" s="831"/>
      <c r="U20" s="831"/>
      <c r="V20" s="831" t="str">
        <f>A20&amp;'Look Up'!$A$5</f>
        <v>ConsultantService Support Cost</v>
      </c>
      <c r="W20" s="831" t="str">
        <f>A20&amp;'Look Up'!$A$6</f>
        <v>ConsultantResearch Cost A</v>
      </c>
      <c r="X20" s="831" t="str">
        <f>A20&amp;'Look Up'!$A$7</f>
        <v>ConsultantResearch Cost B</v>
      </c>
      <c r="Y20" s="831" t="str">
        <f>A20&amp;'Look Up'!$A$8</f>
        <v>ConsultantTreatment Costs</v>
      </c>
      <c r="Z20" s="831" t="str">
        <f>A20&amp;'Look Up'!$A$9</f>
        <v>ConsultantExcess Treatment Costs</v>
      </c>
      <c r="AA20" s="831"/>
      <c r="AB20" s="831"/>
      <c r="AC20" s="831"/>
      <c r="AD20" s="831"/>
      <c r="AE20" s="831"/>
      <c r="AF20" s="831"/>
    </row>
    <row r="21" spans="1:32" ht="19.5" customHeight="1" thickBot="1">
      <c r="A21" s="904" t="s">
        <v>2005</v>
      </c>
      <c r="B21" s="905"/>
      <c r="C21" s="838"/>
      <c r="D21" s="906">
        <f>((SUMIF('Per patient Arm 2'!$B$8:$B$47,"Service Support Cost",'Per patient Arm 2'!$BR$8:$BR$47))*'Study Information &amp; rates'!$B$28+(SUMIF('Per patient Arm 1'!$B$7:$B$46,"Service Support Cost",'Per patient Arm 1'!$BR$7:$BR$46))*'Study Information &amp; rates'!$B$27+(SUMIF('Per patient Arm 3'!$B$8:$B$47,"Service Support Cost",'Per patient Arm 3'!$BR$8:$BR$47))*'Study Information &amp; rates'!$B$29+(SUMIF('Per patient Arm 4'!$B$8:$B$47,"Service Support Cost",'Per patient Arm 4'!$BR$8:$BR$47))*'Study Information &amp; rates'!$B$30+(SUMIF('Per patient Arm 5'!$B$8:$B$47,"Service Support Cost",'Per patient Arm 5'!$BR$8:$BR$47))*'Study Information &amp; rates'!$B$31)*'Set-up and other costs'!B18</f>
        <v>0</v>
      </c>
      <c r="E21" s="907">
        <f>((SUMIF('Per patient Arm 2'!$B$8:$B$47,"Research Cost A",'Per patient Arm 2'!$BR$8:$BR$47))*'Study Information &amp; rates'!$B$28+(SUMIF('Per patient Arm 1'!$B$7:$B$46,"Research Cost A",'Per patient Arm 1'!$BR$7:$BR$46))*'Study Information &amp; rates'!$B$27+(SUMIF('Per patient Arm 3'!$B$8:$B$47,"Research Cost A",'Per patient Arm 3'!$BR$8:$BR$47))*'Study Information &amp; rates'!$B$29+(SUMIF('Per patient Arm 4'!$B$8:$B$47,"Research Cost A",'Per patient Arm 4'!$BR$8:$BR$47))*'Study Information &amp; rates'!$B$30+(SUMIF('Per patient Arm 5'!$B$8:$B$47,"Research Cost A",'Per patient Arm 5'!$BR$8:$BR$47))*'Study Information &amp; rates'!$B$31)*'Set-up and other costs'!B18</f>
        <v>0</v>
      </c>
      <c r="F21" s="908">
        <f>((SUMIF('Per patient Arm 2'!$B$8:$B$47,"Research Cost B",'Per patient Arm 2'!$BR$8:$BR$47))*'Study Information &amp; rates'!$B$28+(SUMIF('Per patient Arm 1'!$B$7:$B$46,"Research Cost B",'Per patient Arm 1'!$BR$7:$BR$46))*'Study Information &amp; rates'!$B$27+(SUMIF('Per patient Arm 3'!$B$8:$B$47,"Research Cost B",'Per patient Arm 3'!$BR$8:$BR$47))*'Study Information &amp; rates'!$B$29+(SUMIF('Per patient Arm 4'!$B$8:$B$47,"Research Cost B",'Per patient Arm 4'!$BR$8:$BR$47))*'Study Information &amp; rates'!$B$30+(SUMIF('Per patient Arm 5'!$B$8:$B$47,"Research Cost B",'Per patient Arm 5'!$BR$8:$BR$47))*'Study Information &amp; rates'!$B$31)*'Set-up and other costs'!B18</f>
        <v>0</v>
      </c>
      <c r="G21" s="909">
        <f>((SUMIF('Per patient Arm 2'!$B$8:$B$47,"Treatment Costs",'Per patient Arm 2'!$BR$8:$BR$47))*'Study Information &amp; rates'!$B$28+(SUMIF('Per patient Arm 1'!$B$7:$B$46,"Treatment Costs",'Per patient Arm 1'!$BR$7:$BR$46))*'Study Information &amp; rates'!$B$27+(SUMIF('Per patient Arm 3'!$B$8:$B$47,"Treatment Costs",'Per patient Arm 3'!$BR$8:$BR$47))*'Study Information &amp; rates'!$B$29+(SUMIF('Per patient Arm 4'!$B$8:$B$47,"Treatment Costs",'Per patient Arm 4'!$BR$8:$BR$47))*'Study Information &amp; rates'!$B$30+(SUMIF('Per patient Arm 5'!$B$8:$B$47,"Treatment Costs",'Per patient Arm 5'!$BR$8:$BR$47))*'Study Information &amp; rates'!$B$31)*'Set-up and other costs'!B18</f>
        <v>0</v>
      </c>
      <c r="H21" s="910">
        <f>((SUMIF('Per patient Arm 2'!$B$8:$B$47,"Excess Treatment Costs",'Per patient Arm 2'!$BR$8:$BR$47))*'Study Information &amp; rates'!$B$28+(SUMIF('Per patient Arm 1'!$B$7:$B$46,"Excess Treatment Costs",'Per patient Arm 1'!$BR$7:$BR$46))*'Study Information &amp; rates'!$B$27+(SUMIF('Per patient Arm 3'!$B$8:$B$47,"Excess Treatment Costs",'Per patient Arm 3'!$BR$8:$BR$47))*'Study Information &amp; rates'!$B$29+(SUMIF('Per patient Arm 4'!$B$8:$B$47,"Excess Treatment Costs",'Per patient Arm 4'!$BR$8:$BR$47))*'Study Information &amp; rates'!$B$30+(SUMIF('Per patient Arm 5'!$B$8:$B$47,"Excess Treatment Costs",'Per patient Arm 5'!$BR$8:$BR$47))*'Study Information &amp; rates'!$B$31)*'Set-up and other costs'!B18</f>
        <v>0</v>
      </c>
      <c r="I21" s="911">
        <f>SUM(D21:H21)</f>
        <v>0</v>
      </c>
      <c r="J21" s="831"/>
      <c r="K21" s="896"/>
      <c r="L21" s="896"/>
      <c r="M21" s="831"/>
      <c r="N21" s="831"/>
      <c r="O21" s="831"/>
      <c r="P21" s="831"/>
      <c r="Q21" s="831"/>
      <c r="R21" s="831"/>
      <c r="S21" s="831"/>
      <c r="T21" s="831"/>
      <c r="U21" s="831"/>
      <c r="V21" s="831" t="str">
        <f>A21&amp;'Look Up'!$A$5</f>
        <v>FellowService Support Cost</v>
      </c>
      <c r="W21" s="831" t="str">
        <f>A21&amp;'Look Up'!$A$6</f>
        <v>FellowResearch Cost A</v>
      </c>
      <c r="X21" s="831" t="str">
        <f>A21&amp;'Look Up'!$A$7</f>
        <v>FellowResearch Cost B</v>
      </c>
      <c r="Y21" s="831" t="str">
        <f>A21&amp;'Look Up'!$A$8</f>
        <v>FellowTreatment Costs</v>
      </c>
      <c r="Z21" s="831" t="str">
        <f>A21&amp;'Look Up'!$A$9</f>
        <v>FellowExcess Treatment Costs</v>
      </c>
      <c r="AA21" s="831"/>
      <c r="AB21" s="831"/>
      <c r="AC21" s="831"/>
      <c r="AD21" s="831"/>
      <c r="AE21" s="831"/>
      <c r="AF21" s="831"/>
    </row>
    <row r="22" spans="1:32" ht="19.5" customHeight="1" thickBot="1">
      <c r="A22" s="912" t="s">
        <v>2006</v>
      </c>
      <c r="B22" s="913"/>
      <c r="C22" s="838"/>
      <c r="D22" s="906">
        <f>((SUMIF('Per patient Arm 2'!$B$8:$B$46,"Service Support Cost",'Per patient Arm 2'!$BS$8:$BS$46))*'Study Information &amp; rates'!$B$28+(SUMIF('Per patient Arm 1'!$B$7:$B$45,"Service Support Cost",'Per patient Arm 1'!$BS$7:$BS$45))*'Study Information &amp; rates'!$B$27+(SUMIF('Per patient Arm 3'!$B$8:$B$46,"Service Support Cost",'Per patient Arm 3'!$BS$8:$BS$46))*'Study Information &amp; rates'!$B$29+(SUMIF('Per patient Arm 4'!$B$8:$B$46,"Service Support Cost",'Per patient Arm 4'!$BS$8:$BS$46))*'Study Information &amp; rates'!$B$30+(SUMIF('Per patient Arm 5'!$B$8:$B$46,"Service Support Cost",'Per patient Arm 5'!$BS$8:$BS$46))*'Study Information &amp; rates'!$B$31)*'Set-up and other costs'!B18</f>
        <v>0</v>
      </c>
      <c r="E22" s="907">
        <f>((SUMIF('Per patient Arm 2'!$B$8:$B$47,"Research Cost A",'Per patient Arm 2'!$BS$8:$BS$47))*'Study Information &amp; rates'!$B$28+(SUMIF('Per patient Arm 1'!$B$7:$B$45,"Research Cost A",'Per patient Arm 1'!$BS$7:$BS$45))*'Study Information &amp; rates'!$B$27+(SUMIF('Per patient Arm 3'!$B$8:$B$47,"Research Cost A",'Per patient Arm 3'!$BS$8:$BS$47))*'Study Information &amp; rates'!$B$29+(SUMIF('Per patient Arm 4'!$B$8:$B$47,"Research Cost A",'Per patient Arm 4'!$BS$8:$BS$47))*'Study Information &amp; rates'!$B$30+(SUMIF('Per patient Arm 5'!$B$8:$B$47,"Research Cost A",'Per patient Arm 5'!$BS$8:$BS$47))*'Study Information &amp; rates'!$B$31)*'Set-up and other costs'!B18</f>
        <v>0</v>
      </c>
      <c r="F22" s="908">
        <f>((SUMIF('Per patient Arm 2'!$B$8:$B$47,"Research Cost B",'Per patient Arm 2'!$BS$8:$BS$47))*'Study Information &amp; rates'!$B$28+(SUMIF('Per patient Arm 1'!$B$7:$B$46,"Research Cost B",'Per patient Arm 1'!$BS$7:$BS$46))*'Study Information &amp; rates'!$B$27+(SUMIF('Per patient Arm 3'!$B$8:$B$47,"Research Cost B",'Per patient Arm 3'!$BS$8:$BS$47))*'Study Information &amp; rates'!$B$29+(SUMIF('Per patient Arm 4'!$B$8:$B$47,"Research Cost B",'Per patient Arm 4'!$BS$8:$BS$47))*'Study Information &amp; rates'!$B$30+(SUMIF('Per patient Arm 5'!$B$8:$B$47,"Research Cost B",'Per patient Arm 5'!$BS$8:$BS$47))*'Study Information &amp; rates'!$B$31)*'Set-up and other costs'!B18</f>
        <v>0</v>
      </c>
      <c r="G22" s="909">
        <f>((SUMIF('Per patient Arm 2'!$B$8:$B$47,"Treatment Costs",'Per patient Arm 2'!$BS$8:$BS$47))*'Study Information &amp; rates'!$B$28+(SUMIF('Per patient Arm 1'!$B$7:$B$46,"Treatment Costs",'Per patient Arm 1'!$BS$7:$BS$46))*'Study Information &amp; rates'!$B$27+(SUMIF('Per patient Arm 3'!$B$8:$B$47,"Treatment Costs",'Per patient Arm 3'!$BS$8:$BS$47))*'Study Information &amp; rates'!$B$29+(SUMIF('Per patient Arm 4'!$B$8:$B$47,"Treatment Costs",'Per patient Arm 4'!$BS$8:$BS$47))*'Study Information &amp; rates'!$B$30+(SUMIF('Per patient Arm 5'!$B$8:$B$47,"Treatment Costs",'Per patient Arm 5'!$BS$8:$BS$47))*'Study Information &amp; rates'!$B$31)*'Set-up and other costs'!B18</f>
        <v>0</v>
      </c>
      <c r="H22" s="910">
        <f>((SUMIF('Per patient Arm 2'!$B$8:$B$47,"Excess Treatment Costs",'Per patient Arm 2'!$BS$8:$BS$47))*'Study Information &amp; rates'!$B$28+(SUMIF('Per patient Arm 1'!$B$7:$B$46,"Excess Treatment Costs",'Per patient Arm 1'!$BS$7:$BS$46))*'Study Information &amp; rates'!$B$27+(SUMIF('Per patient Arm 3'!$B$8:$B$47,"Excess Treatment Costs",'Per patient Arm 3'!$BS$8:$BS$47))*'Study Information &amp; rates'!$B$29+(SUMIF('Per patient Arm 4'!$B$8:$B$47,"Excess Treatment Costs",'Per patient Arm 4'!$BS$8:$BS$47))*'Study Information &amp; rates'!$B$30+(SUMIF('Per patient Arm 5'!$B$8:$B$47,"Excess Treatment Costs",'Per patient Arm 5'!$BS$8:$BS$47))*'Study Information &amp; rates'!$B$31)*'Set-up and other costs'!B18</f>
        <v>0</v>
      </c>
      <c r="I22" s="911">
        <f>SUM(D22:H22)</f>
        <v>0</v>
      </c>
      <c r="J22" s="831"/>
      <c r="K22" s="896"/>
      <c r="L22" s="896"/>
      <c r="M22" s="831"/>
      <c r="N22" s="831"/>
      <c r="O22" s="831"/>
      <c r="P22" s="831"/>
      <c r="Q22" s="831"/>
      <c r="R22" s="831"/>
      <c r="S22" s="831"/>
      <c r="T22" s="831"/>
      <c r="U22" s="831"/>
      <c r="V22" s="831" t="str">
        <f>A22&amp;'Look Up'!$A$5</f>
        <v>NurseService Support Cost</v>
      </c>
      <c r="W22" s="831" t="str">
        <f>A22&amp;'Look Up'!$A$6</f>
        <v>NurseResearch Cost A</v>
      </c>
      <c r="X22" s="831" t="str">
        <f>A22&amp;'Look Up'!$A$7</f>
        <v>NurseResearch Cost B</v>
      </c>
      <c r="Y22" s="831" t="str">
        <f>A22&amp;'Look Up'!$A$8</f>
        <v>NurseTreatment Costs</v>
      </c>
      <c r="Z22" s="831" t="str">
        <f>A22&amp;'Look Up'!$A$9</f>
        <v>NurseExcess Treatment Costs</v>
      </c>
      <c r="AA22" s="831"/>
      <c r="AB22" s="831"/>
      <c r="AC22" s="831"/>
      <c r="AD22" s="831"/>
      <c r="AE22" s="831"/>
      <c r="AF22" s="831"/>
    </row>
    <row r="23" spans="1:32" ht="19.5" customHeight="1" thickBot="1">
      <c r="A23" s="912" t="s">
        <v>2139</v>
      </c>
      <c r="B23" s="913"/>
      <c r="C23" s="838"/>
      <c r="D23" s="906">
        <f>SUMIF('Additional Study Activities'!$Q:$Q,V23,'Additional Study Activities'!$N:$N)</f>
        <v>0</v>
      </c>
      <c r="E23" s="907">
        <f>SUMIF('Additional Study Activities'!$Q:$Q,W23,'Additional Study Activities'!$N:$N)</f>
        <v>0</v>
      </c>
      <c r="F23" s="908">
        <f>SUMIF('Additional Study Activities'!$Q:$Q,X23,'Additional Study Activities'!$N:$N)</f>
        <v>0</v>
      </c>
      <c r="G23" s="909">
        <f>SUMIF('Additional Study Activities'!$Q:$Q,Y23,'Additional Study Activities'!$N:$N)</f>
        <v>0</v>
      </c>
      <c r="H23" s="910">
        <f>SUMIF('Additional Study Activities'!$Q:$Q,Z23,'Additional Study Activities'!$N:$N)</f>
        <v>0</v>
      </c>
      <c r="I23" s="911">
        <f>SUM(D23:H23)</f>
        <v>0</v>
      </c>
      <c r="J23" s="831"/>
      <c r="K23" s="896"/>
      <c r="L23" s="896"/>
      <c r="M23" s="831"/>
      <c r="N23" s="831"/>
      <c r="O23" s="831"/>
      <c r="P23" s="831"/>
      <c r="Q23" s="831"/>
      <c r="R23" s="831"/>
      <c r="S23" s="831"/>
      <c r="T23" s="831"/>
      <c r="U23" s="831"/>
      <c r="V23" s="831" t="str">
        <f>A23&amp;'Look Up'!$A$5</f>
        <v>Additional Staff CostsService Support Cost</v>
      </c>
      <c r="W23" s="831" t="str">
        <f>A23&amp;'Look Up'!$A$6</f>
        <v>Additional Staff CostsResearch Cost A</v>
      </c>
      <c r="X23" s="831" t="str">
        <f>A23&amp;'Look Up'!$A$7</f>
        <v>Additional Staff CostsResearch Cost B</v>
      </c>
      <c r="Y23" s="831" t="str">
        <f>A23&amp;'Look Up'!$A$8</f>
        <v>Additional Staff CostsTreatment Costs</v>
      </c>
      <c r="Z23" s="831" t="str">
        <f>A23&amp;'Look Up'!$A$9</f>
        <v>Additional Staff CostsExcess Treatment Costs</v>
      </c>
      <c r="AA23" s="831"/>
      <c r="AB23" s="831"/>
      <c r="AC23" s="831"/>
      <c r="AD23" s="831"/>
      <c r="AE23" s="831"/>
      <c r="AF23" s="831"/>
    </row>
    <row r="24" spans="1:32" ht="19.5" customHeight="1" thickBot="1">
      <c r="A24" s="912" t="s">
        <v>8</v>
      </c>
      <c r="B24" s="913"/>
      <c r="C24" s="838"/>
      <c r="D24" s="906">
        <f>((SUMIF('Per patient Arm 2'!$B$8:$B$47,"Service Support Cost",'Per patient Arm 2'!$BT$8:$BT$47))*'Study Information &amp; rates'!$B$28+(SUMIF('Per patient Arm 1'!$B$7:$B$46,"Service Support Cost",'Per patient Arm 1'!$BT$7:$BT$46))*'Study Information &amp; rates'!$B$27+(SUMIF('Per patient Arm 3'!$B$8:$B$47,"Service Support Cost",'Per patient Arm 3'!$BT$8:$BT$47))*'Study Information &amp; rates'!$B$29+(SUMIF('Per patient Arm 4'!$B$8:$B$47,"Service Support Cost",'Per patient Arm 4'!$BT$8:$BT$47))*'Study Information &amp; rates'!$B$30+(SUMIF('Per patient Arm 5'!$B$8:$B$47,"Service Support Cost",'Per patient Arm 5'!$BT$8:$BT$47))*'Study Information &amp; rates'!$B$31)*'Set-up and other costs'!B18</f>
        <v>0</v>
      </c>
      <c r="E24" s="907">
        <f>((SUMIF('Per patient Arm 2'!$B$8:$B$47,"Research Cost A",'Per patient Arm 2'!$BT$8:$BT$47))*'Study Information &amp; rates'!$B$28+(SUMIF('Per patient Arm 1'!$B$7:$B$46,"Research Cost A",'Per patient Arm 1'!$BT$7:$BT$46))*'Study Information &amp; rates'!$B$27+(SUMIF('Per patient Arm 3'!$B$8:$B$47,"Research Cost A",'Per patient Arm 3'!$BT$8:$BT$47))*'Study Information &amp; rates'!$B$29+(SUMIF('Per patient Arm 4'!$B$8:$B$47,"Research Cost A",'Per patient Arm 4'!$BT$8:$BT$47))*'Study Information &amp; rates'!$B$30+(SUMIF('Per patient Arm 5'!$B$8:$B$47,"Research Cost A",'Per patient Arm 5'!$BT$8:$BT$47))*'Study Information &amp; rates'!$B$31)*'Set-up and other costs'!B18</f>
        <v>0</v>
      </c>
      <c r="F24" s="908">
        <f>((SUMIF('Per patient Arm 2'!$B$8:$B$47,"Research Cost B",'Per patient Arm 2'!$BT$8:$BT$47))*'Study Information &amp; rates'!$B$28+(SUMIF('Per patient Arm 1'!$B$7:$B$46,"Research Cost B",'Per patient Arm 1'!$BT$7:$BT$46))*'Study Information &amp; rates'!$B$27+(SUMIF('Per patient Arm 3'!$B$8:$B$47,"Research Cost B",'Per patient Arm 3'!$BT$8:$BT$47))*'Study Information &amp; rates'!$B$29+(SUMIF('Per patient Arm 4'!$B$8:$B$47,"Research Cost B",'Per patient Arm 4'!$BT$8:$BT$47))*'Study Information &amp; rates'!$B$30+(SUMIF('Per patient Arm 5'!$B$8:$B$47,"Research Cost B",'Per patient Arm 5'!$BT$8:$BT$47))*'Study Information &amp; rates'!$B$31)*'Set-up and other costs'!B18</f>
        <v>0</v>
      </c>
      <c r="G24" s="909">
        <f>((SUMIF('Per patient Arm 2'!$B$8:$B$47,"Treatment Costs",'Per patient Arm 2'!$BT$8:$BT$47))*'Study Information &amp; rates'!$B$28+(SUMIF('Per patient Arm 1'!$B$7:$B$46,"Treatment Costs",'Per patient Arm 1'!$BT$7:$BT$46))*'Study Information &amp; rates'!$B$27+(SUMIF('Per patient Arm 3'!$B$8:$B$47,"Treatment Costs",'Per patient Arm 3'!$BT$8:$BT$47))*'Study Information &amp; rates'!$B$29+(SUMIF('Per patient Arm 4'!$B$8:$B$47,"Treatment Costs",'Per patient Arm 4'!$BT$8:$BT$47))*'Study Information &amp; rates'!$B$30+(SUMIF('Per patient Arm 5'!$B$8:$B$47,"Treatment Costs",'Per patient Arm 5'!$BT$8:$BT$47))*'Study Information &amp; rates'!$B$31)*'Set-up and other costs'!B18</f>
        <v>0</v>
      </c>
      <c r="H24" s="910">
        <f>((SUMIF('Per patient Arm 2'!$B$8:$B$47,"Excess Treatment Costs",'Per patient Arm 2'!$BT$8:$BT$47))*'Study Information &amp; rates'!$B$28+(SUMIF('Per patient Arm 1'!$B$7:$B$46,"Excess Treatment Costs",'Per patient Arm 1'!$BT$7:$BT$46))*'Study Information &amp; rates'!$B$27+(SUMIF('Per patient Arm 3'!$B$8:$B$47,"Excess Treatment Costs",'Per patient Arm 3'!$BT$8:$BT$47))*'Study Information &amp; rates'!$B$29+(SUMIF('Per patient Arm 4'!$B$8:$B$47,"Excess Treatment Costs",'Per patient Arm 4'!$BT$8:$BT$47))*'Study Information &amp; rates'!$B$30+(SUMIF('Per patient Arm 5'!$B$8:$B$47,"Excess Treatment Costs",'Per patient Arm 5'!$BT$8:$BT$47))*'Study Information &amp; rates'!$B$31)*'Set-up and other costs'!B18</f>
        <v>0</v>
      </c>
      <c r="I24" s="911">
        <f>SUM(D24:H24)</f>
        <v>0</v>
      </c>
      <c r="J24" s="831"/>
      <c r="K24" s="896"/>
      <c r="L24" s="896"/>
      <c r="M24" s="831"/>
      <c r="N24" s="831"/>
      <c r="O24" s="831"/>
      <c r="P24" s="831"/>
      <c r="Q24" s="831"/>
      <c r="R24" s="831"/>
      <c r="S24" s="831"/>
      <c r="T24" s="831"/>
      <c r="U24" s="831"/>
      <c r="V24" s="831" t="str">
        <f>A24&amp;'Look Up'!$A$5</f>
        <v>AdminService Support Cost</v>
      </c>
      <c r="W24" s="831" t="str">
        <f>A24&amp;'Look Up'!$A$6</f>
        <v>AdminResearch Cost A</v>
      </c>
      <c r="X24" s="831" t="str">
        <f>A24&amp;'Look Up'!$A$7</f>
        <v>AdminResearch Cost B</v>
      </c>
      <c r="Y24" s="831" t="str">
        <f>A24&amp;'Look Up'!$A$8</f>
        <v>AdminTreatment Costs</v>
      </c>
      <c r="Z24" s="831" t="str">
        <f>A24&amp;'Look Up'!$A$9</f>
        <v>AdminExcess Treatment Costs</v>
      </c>
      <c r="AA24" s="831"/>
      <c r="AB24" s="831"/>
      <c r="AC24" s="831"/>
      <c r="AD24" s="831"/>
      <c r="AE24" s="831"/>
      <c r="AF24" s="831"/>
    </row>
    <row r="25" spans="1:32" ht="19.5" customHeight="1" thickBot="1">
      <c r="A25" s="904" t="s">
        <v>1930</v>
      </c>
      <c r="B25" s="905">
        <v>701102</v>
      </c>
      <c r="C25" s="838"/>
      <c r="D25" s="906">
        <f>SUMIF(Pathology!$M:$M,V25,Pathology!$J:$J)</f>
        <v>0</v>
      </c>
      <c r="E25" s="907">
        <f>SUMIF(Pathology!$M:$M,W25,Pathology!$J:$J)</f>
        <v>0</v>
      </c>
      <c r="F25" s="908">
        <f>SUMIF(Pathology!$M:$M,X25,Pathology!$J:$J)</f>
        <v>0</v>
      </c>
      <c r="G25" s="909">
        <f>SUMIF(Pathology!$M:$M,Y25,Pathology!$J:$J)</f>
        <v>0</v>
      </c>
      <c r="H25" s="910">
        <f>SUMIF(Pathology!$M:$M,Z25,Pathology!$J:$J)</f>
        <v>0</v>
      </c>
      <c r="I25" s="911">
        <f>SUM(D25:H25)</f>
        <v>0</v>
      </c>
      <c r="J25" s="831"/>
      <c r="K25" s="896"/>
      <c r="L25" s="896"/>
      <c r="M25" s="831"/>
      <c r="N25" s="831"/>
      <c r="O25" s="831"/>
      <c r="P25" s="831"/>
      <c r="Q25" s="831"/>
      <c r="R25" s="831"/>
      <c r="S25" s="831"/>
      <c r="T25" s="831"/>
      <c r="U25" s="831"/>
      <c r="V25" s="831" t="str">
        <f>A25&amp;'Look Up'!$A$5</f>
        <v>PathologyService Support Cost</v>
      </c>
      <c r="W25" s="831" t="str">
        <f>A25&amp;'Look Up'!$A$6</f>
        <v>PathologyResearch Cost A</v>
      </c>
      <c r="X25" s="831" t="str">
        <f>A25&amp;'Look Up'!$A$7</f>
        <v>PathologyResearch Cost B</v>
      </c>
      <c r="Y25" s="831" t="str">
        <f>A25&amp;'Look Up'!$A$8</f>
        <v>PathologyTreatment Costs</v>
      </c>
      <c r="Z25" s="831" t="str">
        <f>A25&amp;'Look Up'!$A$9</f>
        <v>PathologyExcess Treatment Costs</v>
      </c>
      <c r="AA25" s="831"/>
      <c r="AB25" s="831"/>
      <c r="AC25" s="831"/>
      <c r="AD25" s="831"/>
      <c r="AE25" s="831"/>
      <c r="AF25" s="831"/>
    </row>
    <row r="26" spans="1:32" ht="19.5" customHeight="1" thickBot="1">
      <c r="A26" s="904" t="s">
        <v>1705</v>
      </c>
      <c r="B26" s="905">
        <v>404110</v>
      </c>
      <c r="C26" s="838"/>
      <c r="D26" s="906">
        <f>SUMIF(Radiology!$M:$M,V26,Radiology!$K:$K)</f>
        <v>0</v>
      </c>
      <c r="E26" s="907">
        <f>SUMIF(Radiology!$M:$M,W26,Radiology!$K:$K)</f>
        <v>0</v>
      </c>
      <c r="F26" s="908">
        <f>SUMIF(Radiology!$M:$M,X26,Radiology!$K:$K)</f>
        <v>0</v>
      </c>
      <c r="G26" s="909">
        <f>SUMIF(Radiology!$M:$M,Y26,Radiology!$K:$K)</f>
        <v>0</v>
      </c>
      <c r="H26" s="910">
        <f>SUMIF(Radiology!$M:$M,Z26,Radiology!$K:$K)</f>
        <v>0</v>
      </c>
      <c r="I26" s="911">
        <f>SUM(D26:H26)</f>
        <v>0</v>
      </c>
      <c r="J26" s="831"/>
      <c r="K26" s="896"/>
      <c r="L26" s="896"/>
      <c r="M26" s="831"/>
      <c r="N26" s="831"/>
      <c r="O26" s="831"/>
      <c r="P26" s="831"/>
      <c r="Q26" s="831"/>
      <c r="R26" s="831"/>
      <c r="S26" s="831"/>
      <c r="T26" s="831"/>
      <c r="U26" s="831"/>
      <c r="V26" s="831" t="str">
        <f>A26&amp;'Look Up'!$A$5</f>
        <v>RadiologyService Support Cost</v>
      </c>
      <c r="W26" s="831" t="str">
        <f>A26&amp;'Look Up'!$A$6</f>
        <v>RadiologyResearch Cost A</v>
      </c>
      <c r="X26" s="831" t="str">
        <f>A26&amp;'Look Up'!$A$7</f>
        <v>RadiologyResearch Cost B</v>
      </c>
      <c r="Y26" s="831" t="str">
        <f>A26&amp;'Look Up'!$A$8</f>
        <v>RadiologyTreatment Costs</v>
      </c>
      <c r="Z26" s="831" t="str">
        <f>A26&amp;'Look Up'!$A$9</f>
        <v>RadiologyExcess Treatment Costs</v>
      </c>
      <c r="AA26" s="831"/>
      <c r="AB26" s="831"/>
      <c r="AC26" s="831"/>
      <c r="AD26" s="831"/>
      <c r="AE26" s="831"/>
      <c r="AF26" s="831"/>
    </row>
    <row r="27" spans="1:32" ht="19.5" customHeight="1" thickBot="1">
      <c r="A27" s="1000" t="s">
        <v>2463</v>
      </c>
      <c r="B27" s="905">
        <v>700104</v>
      </c>
      <c r="C27" s="838"/>
      <c r="D27" s="906">
        <f>(SUMIF('Per patient Arm 2'!$BO$56:$BO$81,V27,'Per patient Arm 2'!$AV$56:$AV$81)*'Study Information &amp; rates'!$B$28)+(SUMIF('Per patient Arm 1'!$BO$55:$BO$80,V27,'Per patient Arm 1'!$AU$55:$AU$80)*'Study Information &amp; rates'!$B$27)+(SUMIF('Per patient Arm 3'!$BO$56:$BO$81,V27,'Per patient Arm 3'!$AV$56:$AV$81)*'Study Information &amp; rates'!$B$29)+(SUMIF('Per patient Arm 4'!$BO$56:$BO$81,V27,'Per patient Arm 4'!$AV$56:$AV$81)*'Study Information &amp; rates'!$B$30)+(SUMIF('Per patient Arm 5'!$BO$56:$BO$81,V27,'Per patient Arm 5'!$AV$56:$AV$81)*'Study Information &amp; rates'!$B$31)</f>
        <v>0</v>
      </c>
      <c r="E27" s="907">
        <f>(SUMIF('Per patient Arm 2'!$BO$56:$BO$81,W27,'Per patient Arm 2'!$AV$56:$AV$81)*'Study Information &amp; rates'!$B$28)+(SUMIF('Per patient Arm 1'!$BO$55:$BO$80,W27,'Per patient Arm 1'!$AU$55:$AU$80)*'Study Information &amp; rates'!$B$27)+(SUMIF('Per patient Arm 3'!$BO$56:$BO$81,W27,'Per patient Arm 3'!$AV$56:$AV$81)*'Study Information &amp; rates'!$B$29)+(SUMIF('Per patient Arm 4'!$BO$56:$BO$81,W27,'Per patient Arm 4'!$AV$56:$AV$81)*'Study Information &amp; rates'!$B$30)+(SUMIF('Per patient Arm 5'!$BO$56:$BO$81,W27,'Per patient Arm 5'!$AV$56:$AV$81)*'Study Information &amp; rates'!$B$31)</f>
        <v>0</v>
      </c>
      <c r="F27" s="908">
        <f>(SUMIF('Per patient Arm 2'!$BO$56:$BO$81,X27,'Per patient Arm 2'!$AV$56:$AV$81)*'Study Information &amp; rates'!$B$28)+(SUMIF('Per patient Arm 1'!$BO$55:$BO$80,X27,'Per patient Arm 1'!$AU$55:$AU$80)*'Study Information &amp; rates'!$B$27)+(SUMIF('Per patient Arm 3'!$BO$56:$BO$81,X27,'Per patient Arm 3'!$AV$56:$AV$81)*'Study Information &amp; rates'!$B$29)+(SUMIF('Per patient Arm 4'!$BO$56:$BO$81,X27,'Per patient Arm 4'!$AV$56:$AV$81)*'Study Information &amp; rates'!$B$30)+(SUMIF('Per patient Arm 5'!$BO$56:$BO$81,X27,'Per patient Arm 5'!$AV$56:$AV$81)*'Study Information &amp; rates'!$B$31)</f>
        <v>0</v>
      </c>
      <c r="G27" s="909">
        <f>(SUMIF('Per patient Arm 2'!$BO$56:$BO$81,Y27,'Per patient Arm 2'!$AV$56:$AV$81)*'Study Information &amp; rates'!$B$28)+(SUMIF('Per patient Arm 1'!$BO$55:$BO$80,Y27,'Per patient Arm 1'!$AU$55:$AU$80)*'Study Information &amp; rates'!$B$27)+(SUMIF('Per patient Arm 3'!$BO$56:$BO$81,Y27,'Per patient Arm 3'!$AV$56:$AV$81)*'Study Information &amp; rates'!$B$29)+(SUMIF('Per patient Arm 4'!$BO$56:$BO$81,Y27,'Per patient Arm 4'!$AV$56:$AV$81)*'Study Information &amp; rates'!$B$30)+(SUMIF('Per patient Arm 5'!$BO$56:$BO$81,Y27,'Per patient Arm 5'!$AV$56:$AV$81)*'Study Information &amp; rates'!$B$31)</f>
        <v>0</v>
      </c>
      <c r="H27" s="910">
        <f>(SUMIF('Per patient Arm 2'!$BO$56:$BO$81,Z27,'Per patient Arm 2'!$AV$56:$AV$81)*'Study Information &amp; rates'!$B$28)+(SUMIF('Per patient Arm 1'!$BO$55:$BO$80,Z27,'Per patient Arm 1'!$AU$55:$AU$80)*'Study Information &amp; rates'!$B$27)+(SUMIF('Per patient Arm 3'!$BO$56:$BO$81,Z27,'Per patient Arm 3'!$AV$56:$AV$81)*'Study Information &amp; rates'!$B$29)+(SUMIF('Per patient Arm 4'!$BO$56:$BO$81,Z27,'Per patient Arm 4'!$AV$56:$AV$81)*'Study Information &amp; rates'!$B$30)+(SUMIF('Per patient Arm 5'!$BO$56:$BO$81,Z27,'Per patient Arm 5'!$AV$56:$AV$81)*'Study Information &amp; rates'!$B$31)</f>
        <v>0</v>
      </c>
      <c r="I27" s="911">
        <f>SUM(D27:H27)</f>
        <v>0</v>
      </c>
      <c r="J27" s="831"/>
      <c r="K27" s="896"/>
      <c r="L27" s="896"/>
      <c r="M27" s="831"/>
      <c r="N27" s="831"/>
      <c r="O27" s="831"/>
      <c r="P27" s="831"/>
      <c r="Q27" s="831"/>
      <c r="R27" s="831"/>
      <c r="S27" s="831"/>
      <c r="T27" s="831"/>
      <c r="U27" s="831"/>
      <c r="V27" s="831" t="str">
        <f>A27&amp;'Look Up'!$A$5</f>
        <v>OphthalmologyService Support Cost</v>
      </c>
      <c r="W27" s="831" t="str">
        <f>A27&amp;'Look Up'!$A$6</f>
        <v>OphthalmologyResearch Cost A</v>
      </c>
      <c r="X27" s="831" t="str">
        <f>A27&amp;'Look Up'!$A$7</f>
        <v>OphthalmologyResearch Cost B</v>
      </c>
      <c r="Y27" s="831" t="str">
        <f>A27&amp;'Look Up'!$A$8</f>
        <v>OphthalmologyTreatment Costs</v>
      </c>
      <c r="Z27" s="831" t="str">
        <f>A27&amp;'Look Up'!$A$9</f>
        <v>OphthalmologyExcess Treatment Costs</v>
      </c>
      <c r="AA27" s="831"/>
      <c r="AB27" s="831"/>
      <c r="AC27" s="831"/>
      <c r="AD27" s="831"/>
      <c r="AE27" s="831"/>
      <c r="AF27" s="831"/>
    </row>
    <row r="28" spans="1:32" ht="19.5" customHeight="1" thickBot="1">
      <c r="A28" s="904" t="s">
        <v>2008</v>
      </c>
      <c r="B28" s="905"/>
      <c r="C28" s="838"/>
      <c r="D28" s="906">
        <f>(SUMIF('Per patient Arm 2'!$BO$56:$BO$81,V28,'Per patient Arm 2'!$AV$56:$AV$81)*'Study Information &amp; rates'!$B$28)+(SUMIF('Per patient Arm 1'!$BO$55:$BO$80,V28,'Per patient Arm 1'!$AU$55:$AU$80)*'Study Information &amp; rates'!$B$27)+(SUMIF('Per patient Arm 3'!$BO$56:$BO$81,V28,'Per patient Arm 3'!$AV$56:$AV$81)*'Study Information &amp; rates'!$B$29)+(SUMIF('Per patient Arm 4'!$BO$56:$BO$81,V28,'Per patient Arm 4'!$AV$56:$AV$81)*'Study Information &amp; rates'!$B$30)+(SUMIF('Per patient Arm 5'!$BO$56:$BO$81,V28,'Per patient Arm 5'!$AV$56:$AV$81)*'Study Information &amp; rates'!$B$31)</f>
        <v>0</v>
      </c>
      <c r="E28" s="907">
        <f>(SUMIF('Per patient Arm 2'!$BO$56:$BO$81,W28,'Per patient Arm 2'!$AV$56:$AV$81)*'Study Information &amp; rates'!$B$28)+(SUMIF('Per patient Arm 1'!$BO$55:$BO$80,W28,'Per patient Arm 1'!$AU$55:$AU$80)*'Study Information &amp; rates'!$B$27)+(SUMIF('Per patient Arm 3'!$BO$56:$BO$81,W28,'Per patient Arm 3'!$AV$56:$AV$81)*'Study Information &amp; rates'!$B$29)+(SUMIF('Per patient Arm 4'!$BO$56:$BO$81,W28,'Per patient Arm 4'!$AV$56:$AV$81)*'Study Information &amp; rates'!$B$30)+(SUMIF('Per patient Arm 5'!$BO$56:$BO$81,W28,'Per patient Arm 5'!$AV$56:$AV$81)*'Study Information &amp; rates'!$B$31)</f>
        <v>0</v>
      </c>
      <c r="F28" s="908">
        <f>(SUMIF('Per patient Arm 2'!$BO$56:$BO$81,X28,'Per patient Arm 2'!$AV$56:$AV$81)*'Study Information &amp; rates'!$B$28)+(SUMIF('Per patient Arm 1'!$BO$55:$BO$80,X28,'Per patient Arm 1'!$AU$55:$AU$80)*'Study Information &amp; rates'!$B$27)+(SUMIF('Per patient Arm 3'!$BO$56:$BO$81,X28,'Per patient Arm 3'!$AV$56:$AV$81)*'Study Information &amp; rates'!$B$29)+(SUMIF('Per patient Arm 4'!$BO$56:$BO$81,X28,'Per patient Arm 4'!$AV$56:$AV$81)*'Study Information &amp; rates'!$B$30)+(SUMIF('Per patient Arm 5'!$BO$56:$BO$81,X28,'Per patient Arm 5'!$AV$56:$AV$81)*'Study Information &amp; rates'!$B$31)</f>
        <v>0</v>
      </c>
      <c r="G28" s="909">
        <f>(SUMIF('Per patient Arm 2'!$BO$56:$BO$81,Y28,'Per patient Arm 2'!$AV$56:$AV$81)*'Study Information &amp; rates'!$B$28)+(SUMIF('Per patient Arm 1'!$BO$55:$BO$80,Y28,'Per patient Arm 1'!$AU$55:$AU$80)*'Study Information &amp; rates'!$B$27)+(SUMIF('Per patient Arm 3'!$BO$56:$BO$81,Y28,'Per patient Arm 3'!$AV$56:$AV$81)*'Study Information &amp; rates'!$B$29)+(SUMIF('Per patient Arm 4'!$BO$56:$BO$81,Y28,'Per patient Arm 4'!$AV$56:$AV$81)*'Study Information &amp; rates'!$B$30)+(SUMIF('Per patient Arm 5'!$BO$56:$BO$81,Y28,'Per patient Arm 5'!$AV$56:$AV$81)*'Study Information &amp; rates'!$B$31)</f>
        <v>0</v>
      </c>
      <c r="H28" s="910">
        <f>(SUMIF('Per patient Arm 2'!$BO$56:$BO$81,Z28,'Per patient Arm 2'!$AV$56:$AV$81)*'Study Information &amp; rates'!$B$28)+(SUMIF('Per patient Arm 1'!$BO$55:$BO$80,Z28,'Per patient Arm 1'!$AU$55:$AU$80)*'Study Information &amp; rates'!$B$27)+(SUMIF('Per patient Arm 3'!$BO$56:$BO$81,Z28,'Per patient Arm 3'!$AV$56:$AV$81)*'Study Information &amp; rates'!$B$29)+(SUMIF('Per patient Arm 4'!$BO$56:$BO$81,Z28,'Per patient Arm 4'!$AV$56:$AV$81)*'Study Information &amp; rates'!$B$30)+(SUMIF('Per patient Arm 5'!$BO$56:$BO$81,Z28,'Per patient Arm 5'!$AV$56:$AV$81)*'Study Information &amp; rates'!$B$31)</f>
        <v>0</v>
      </c>
      <c r="I28" s="911">
        <f>SUM(D28:H28)</f>
        <v>0</v>
      </c>
      <c r="J28" s="831"/>
      <c r="K28" s="896"/>
      <c r="L28" s="896"/>
      <c r="M28" s="831"/>
      <c r="N28" s="831"/>
      <c r="O28" s="831"/>
      <c r="P28" s="831"/>
      <c r="Q28" s="831"/>
      <c r="R28" s="831"/>
      <c r="S28" s="831"/>
      <c r="T28" s="831"/>
      <c r="U28" s="831"/>
      <c r="V28" s="831" t="str">
        <f>A28&amp;'Look Up'!$A$5</f>
        <v>Other CostsService Support Cost</v>
      </c>
      <c r="W28" s="831" t="str">
        <f>A28&amp;'Look Up'!$A$6</f>
        <v>Other CostsResearch Cost A</v>
      </c>
      <c r="X28" s="831" t="str">
        <f>A28&amp;'Look Up'!$A$7</f>
        <v>Other CostsResearch Cost B</v>
      </c>
      <c r="Y28" s="831" t="str">
        <f>A28&amp;'Look Up'!$A$8</f>
        <v>Other CostsTreatment Costs</v>
      </c>
      <c r="Z28" s="831" t="str">
        <f>A28&amp;'Look Up'!$A$9</f>
        <v>Other CostsExcess Treatment Costs</v>
      </c>
      <c r="AA28" s="831"/>
      <c r="AB28" s="831"/>
      <c r="AC28" s="831"/>
      <c r="AD28" s="831"/>
      <c r="AE28" s="831"/>
      <c r="AF28" s="831"/>
    </row>
    <row r="29" spans="1:32" ht="19.5" customHeight="1" thickBot="1">
      <c r="A29" s="904" t="s">
        <v>1931</v>
      </c>
      <c r="B29" s="905">
        <v>700251</v>
      </c>
      <c r="C29" s="838"/>
      <c r="D29" s="906">
        <f>SUMIF(CRF!$O:$O,V29,CRF!$L:$L)</f>
        <v>0</v>
      </c>
      <c r="E29" s="907">
        <f>SUMIF(CRF!$O:$O,W29,CRF!$L:$L)</f>
        <v>0</v>
      </c>
      <c r="F29" s="908">
        <f>SUMIF(CRF!$O:$O,X29,CRF!$L:$L)</f>
        <v>0</v>
      </c>
      <c r="G29" s="909">
        <f>SUMIF(CRF!$O:$O,Y29,CRF!$L:$L)</f>
        <v>0</v>
      </c>
      <c r="H29" s="910">
        <f>SUMIF(CRF!$O:$O,Z29,CRF!$L:$L)</f>
        <v>0</v>
      </c>
      <c r="I29" s="911">
        <f>SUM(D29:H29)</f>
        <v>0</v>
      </c>
      <c r="J29" s="831"/>
      <c r="K29" s="896"/>
      <c r="L29" s="896"/>
      <c r="M29" s="831"/>
      <c r="N29" s="831"/>
      <c r="O29" s="831"/>
      <c r="P29" s="831"/>
      <c r="Q29" s="831"/>
      <c r="R29" s="831"/>
      <c r="S29" s="831"/>
      <c r="T29" s="831"/>
      <c r="U29" s="831"/>
      <c r="V29" s="831" t="str">
        <f>A29&amp;'Look Up'!$A$5</f>
        <v>CRFService Support Cost</v>
      </c>
      <c r="W29" s="831" t="str">
        <f>A29&amp;'Look Up'!$A$6</f>
        <v>CRFResearch Cost A</v>
      </c>
      <c r="X29" s="831" t="str">
        <f>A29&amp;'Look Up'!$A$7</f>
        <v>CRFResearch Cost B</v>
      </c>
      <c r="Y29" s="831" t="str">
        <f>A29&amp;'Look Up'!$A$8</f>
        <v>CRFTreatment Costs</v>
      </c>
      <c r="Z29" s="831" t="str">
        <f>A29&amp;'Look Up'!$A$9</f>
        <v>CRFExcess Treatment Costs</v>
      </c>
      <c r="AA29" s="831"/>
      <c r="AB29" s="831"/>
      <c r="AC29" s="831"/>
      <c r="AD29" s="831"/>
      <c r="AE29" s="831"/>
      <c r="AF29" s="831"/>
    </row>
    <row r="30" spans="1:32" ht="19.5" customHeight="1" thickBot="1">
      <c r="A30" s="912" t="s">
        <v>1695</v>
      </c>
      <c r="B30" s="913"/>
      <c r="C30" s="838"/>
      <c r="D30" s="906">
        <f>SUMIF(Pharmacy!$M:$M,V30,Pharmacy!$J:$J)</f>
        <v>0</v>
      </c>
      <c r="E30" s="907">
        <f>SUMIF(Pharmacy!$M:$M,W30,Pharmacy!$J:$J)</f>
        <v>0</v>
      </c>
      <c r="F30" s="908">
        <f>SUMIF(Pharmacy!$M:$M,X30,Pharmacy!$J:$J)</f>
        <v>0</v>
      </c>
      <c r="G30" s="909">
        <f>SUMIF(Pharmacy!$M:$M,Y30,Pharmacy!$J:$J)</f>
        <v>0</v>
      </c>
      <c r="H30" s="910">
        <f>SUMIF(Pharmacy!$M:$M,Z30,Pharmacy!$J:$J)</f>
        <v>0</v>
      </c>
      <c r="I30" s="911">
        <f>SUM(D30:H30)</f>
        <v>0</v>
      </c>
      <c r="J30" s="831"/>
      <c r="K30" s="896"/>
      <c r="L30" s="896"/>
      <c r="M30" s="831"/>
      <c r="N30" s="831"/>
      <c r="O30" s="831"/>
      <c r="P30" s="831"/>
      <c r="Q30" s="831"/>
      <c r="R30" s="831"/>
      <c r="S30" s="831"/>
      <c r="T30" s="831"/>
      <c r="U30" s="831"/>
      <c r="V30" s="831" t="str">
        <f>A30&amp;'Look Up'!$A$5</f>
        <v>PharmacyService Support Cost</v>
      </c>
      <c r="W30" s="831" t="str">
        <f>A30&amp;'Look Up'!$A$6</f>
        <v>PharmacyResearch Cost A</v>
      </c>
      <c r="X30" s="831" t="str">
        <f>A30&amp;'Look Up'!$A$7</f>
        <v>PharmacyResearch Cost B</v>
      </c>
      <c r="Y30" s="831" t="str">
        <f>A30&amp;'Look Up'!$A$8</f>
        <v>PharmacyTreatment Costs</v>
      </c>
      <c r="Z30" s="831" t="str">
        <f>A30&amp;'Look Up'!$A$9</f>
        <v>PharmacyExcess Treatment Costs</v>
      </c>
      <c r="AA30" s="831"/>
      <c r="AB30" s="831"/>
      <c r="AC30" s="831"/>
      <c r="AD30" s="831"/>
      <c r="AE30" s="831"/>
      <c r="AF30" s="831"/>
    </row>
    <row r="31" spans="1:32" ht="19.5" customHeight="1" thickBot="1">
      <c r="A31" s="914" t="s">
        <v>2151</v>
      </c>
      <c r="B31" s="913"/>
      <c r="C31" s="838"/>
      <c r="D31" s="906">
        <f>(SUMIF('Per patient Arm 2'!$BO$56:$BO$81,V31,'Per patient Arm 2'!$AV$56:$AV$81)*'Study Information &amp; rates'!$B$28)+(SUMIF('Per patient Arm 1'!$BO$55:$BO$80,V31,'Per patient Arm 1'!$AU$55:$AU$80)*'Study Information &amp; rates'!$B$27)+(SUMIF('Per patient Arm 3'!$BO$56:$BO$81,V31,'Per patient Arm 3'!$AV$56:$AV$81)*'Study Information &amp; rates'!$B$29)+(SUMIF('Per patient Arm 4'!$BO$56:$BO$81,V31,'Per patient Arm 4'!$AV$56:$AV$81)*'Study Information &amp; rates'!$B$30)+(SUMIF('Per patient Arm 5'!$BO$56:$BO$81,V31,'Per patient Arm 5'!$AV$56:$AV$81)*'Study Information &amp; rates'!$B$31)</f>
        <v>0</v>
      </c>
      <c r="E31" s="907">
        <f>(SUMIF('Per patient Arm 2'!$BO$56:$BO$81,W31,'Per patient Arm 2'!$AV$56:$AV$81)*'Study Information &amp; rates'!$B$28)+(SUMIF('Per patient Arm 1'!$BO$55:$BO$80,W31,'Per patient Arm 1'!$AU$55:$AU$80)*'Study Information &amp; rates'!$B$27)+(SUMIF('Per patient Arm 3'!$BO$56:$BO$81,W31,'Per patient Arm 3'!$AV$56:$AV$81)*'Study Information &amp; rates'!$B$29)+(SUMIF('Per patient Arm 4'!$BO$56:$BO$81,W31,'Per patient Arm 4'!$AV$56:$AV$81)*'Study Information &amp; rates'!$B$30)+(SUMIF('Per patient Arm 5'!$BO$56:$BO$81,W31,'Per patient Arm 5'!$AV$56:$AV$81)*'Study Information &amp; rates'!$B$31)</f>
        <v>0</v>
      </c>
      <c r="F31" s="908">
        <f>(SUMIF('Per patient Arm 2'!$BO$56:$BO$81,X31,'Per patient Arm 2'!$AV$56:$AV$81)*'Study Information &amp; rates'!$B$28)+(SUMIF('Per patient Arm 1'!$BO$55:$BO$80,X31,'Per patient Arm 1'!$AU$55:$AU$80)*'Study Information &amp; rates'!$B$27)+(SUMIF('Per patient Arm 3'!$BO$56:$BO$81,X31,'Per patient Arm 3'!$AV$56:$AV$81)*'Study Information &amp; rates'!$B$29)+(SUMIF('Per patient Arm 4'!$BO$56:$BO$81,X31,'Per patient Arm 4'!$AV$56:$AV$81)*'Study Information &amp; rates'!$B$30)+(SUMIF('Per patient Arm 5'!$BO$56:$BO$81,X31,'Per patient Arm 5'!$AV$56:$AV$81)*'Study Information &amp; rates'!$B$31)</f>
        <v>0</v>
      </c>
      <c r="G31" s="909">
        <f>(SUMIF('Per patient Arm 2'!$BO$56:$BO$81,Y31,'Per patient Arm 2'!$AV$56:$AV$81)*'Study Information &amp; rates'!$B$28)+(SUMIF('Per patient Arm 1'!$BO$55:$BO$80,Y31,'Per patient Arm 1'!$AU$55:$AU$80)*'Study Information &amp; rates'!$B$27)+(SUMIF('Per patient Arm 3'!$BO$56:$BO$81,Y31,'Per patient Arm 3'!$AV$56:$AV$81)*'Study Information &amp; rates'!$B$29)+(SUMIF('Per patient Arm 4'!$BO$56:$BO$81,Y31,'Per patient Arm 4'!$AV$56:$AV$81)*'Study Information &amp; rates'!$B$30)+(SUMIF('Per patient Arm 5'!$BO$56:$BO$81,Y31,'Per patient Arm 5'!$AV$56:$AV$81)*'Study Information &amp; rates'!$B$31)</f>
        <v>0</v>
      </c>
      <c r="H31" s="910">
        <f>(SUMIF('Per patient Arm 2'!$BO$56:$BO$81,Z31,'Per patient Arm 2'!$AV$56:$AV$81)*'Study Information &amp; rates'!$B$28)+(SUMIF('Per patient Arm 1'!$BO$55:$BO$80,Z31,'Per patient Arm 1'!$AU$55:$AU$80)*'Study Information &amp; rates'!$B$27)+(SUMIF('Per patient Arm 3'!$BO$56:$BO$81,Z31,'Per patient Arm 3'!$AV$56:$AV$81)*'Study Information &amp; rates'!$B$29)+(SUMIF('Per patient Arm 4'!$BO$56:$BO$81,Z31,'Per patient Arm 4'!$AV$56:$AV$81)*'Study Information &amp; rates'!$B$30)+(SUMIF('Per patient Arm 5'!$BO$56:$BO$81,Z31,'Per patient Arm 5'!$AV$56:$AV$81)*'Study Information &amp; rates'!$B$31)</f>
        <v>0</v>
      </c>
      <c r="I31" s="911">
        <f>SUM(D31:H31)</f>
        <v>0</v>
      </c>
      <c r="J31" s="831"/>
      <c r="K31" s="896"/>
      <c r="L31" s="896"/>
      <c r="M31" s="831"/>
      <c r="N31" s="831"/>
      <c r="O31" s="831"/>
      <c r="P31" s="831"/>
      <c r="Q31" s="831"/>
      <c r="R31" s="831"/>
      <c r="S31" s="831"/>
      <c r="T31" s="831"/>
      <c r="U31" s="831"/>
      <c r="V31" s="831" t="str">
        <f>A31&amp;'Look Up'!$A$5</f>
        <v>Other support functions CostsService Support Cost</v>
      </c>
      <c r="W31" s="831" t="str">
        <f>A31&amp;'Look Up'!$A$6</f>
        <v>Other support functions CostsResearch Cost A</v>
      </c>
      <c r="X31" s="831" t="str">
        <f>A31&amp;'Look Up'!$A$7</f>
        <v>Other support functions CostsResearch Cost B</v>
      </c>
      <c r="Y31" s="831" t="str">
        <f>A31&amp;'Look Up'!$A$8</f>
        <v>Other support functions CostsTreatment Costs</v>
      </c>
      <c r="Z31" s="831" t="str">
        <f>A31&amp;'Look Up'!$A$9</f>
        <v>Other support functions CostsExcess Treatment Costs</v>
      </c>
      <c r="AA31" s="831"/>
      <c r="AB31" s="831"/>
      <c r="AC31" s="831"/>
      <c r="AD31" s="831"/>
      <c r="AE31" s="831"/>
      <c r="AF31" s="831"/>
    </row>
    <row r="32" spans="1:32" ht="19.5" customHeight="1" thickBot="1">
      <c r="A32" s="912" t="s">
        <v>2009</v>
      </c>
      <c r="B32" s="913"/>
      <c r="C32" s="838"/>
      <c r="D32" s="906">
        <f>SUMIF('Additional Study Activities'!$Q:$Q,V32,'Additional Study Activities'!$N:$N)</f>
        <v>0</v>
      </c>
      <c r="E32" s="907">
        <f>SUMIF('Additional Study Activities'!$Q:$Q,W32,'Additional Study Activities'!$N:$N)</f>
        <v>0</v>
      </c>
      <c r="F32" s="908">
        <f>SUMIF('Additional Study Activities'!$Q:$Q,X32,'Additional Study Activities'!$N:$N)</f>
        <v>0</v>
      </c>
      <c r="G32" s="909">
        <f>SUMIF('Additional Study Activities'!$Q:$Q,Y32,'Additional Study Activities'!$N:$N)</f>
        <v>0</v>
      </c>
      <c r="H32" s="910">
        <f>SUMIF('Additional Study Activities'!$Q:$Q,Z32,'Additional Study Activities'!$N:$N)</f>
        <v>0</v>
      </c>
      <c r="I32" s="911">
        <f>SUM(D32:H32)</f>
        <v>0</v>
      </c>
      <c r="J32" s="831"/>
      <c r="K32" s="896"/>
      <c r="L32" s="896"/>
      <c r="M32" s="831"/>
      <c r="N32" s="831"/>
      <c r="O32" s="831"/>
      <c r="P32" s="831"/>
      <c r="Q32" s="831"/>
      <c r="R32" s="831"/>
      <c r="S32" s="831"/>
      <c r="T32" s="831"/>
      <c r="U32" s="831"/>
      <c r="V32" s="831" t="str">
        <f>A32&amp;'Look Up'!$A$5</f>
        <v>Additional CostsService Support Cost</v>
      </c>
      <c r="W32" s="831" t="str">
        <f>A32&amp;'Look Up'!$A$6</f>
        <v>Additional CostsResearch Cost A</v>
      </c>
      <c r="X32" s="831" t="str">
        <f>A32&amp;'Look Up'!$A$7</f>
        <v>Additional CostsResearch Cost B</v>
      </c>
      <c r="Y32" s="831" t="str">
        <f>A32&amp;'Look Up'!$A$8</f>
        <v>Additional CostsTreatment Costs</v>
      </c>
      <c r="Z32" s="831" t="str">
        <f>A32&amp;'Look Up'!$A$9</f>
        <v>Additional CostsExcess Treatment Costs</v>
      </c>
      <c r="AA32" s="831"/>
      <c r="AB32" s="831"/>
      <c r="AC32" s="831"/>
      <c r="AD32" s="831"/>
      <c r="AE32" s="831"/>
      <c r="AF32" s="831"/>
    </row>
    <row r="33" spans="1:32" ht="19.5" customHeight="1" thickBot="1">
      <c r="A33" s="897" t="s">
        <v>2140</v>
      </c>
      <c r="B33" s="913"/>
      <c r="C33" s="838"/>
      <c r="D33" s="906">
        <f>SUMIF('Additional Study Activities'!$Q:$Q,V33,'Additional Study Activities'!$N:$N)</f>
        <v>0</v>
      </c>
      <c r="E33" s="907">
        <f>SUMIF('Additional Study Activities'!$Q:$Q,W33,'Additional Study Activities'!$N:$N)</f>
        <v>0</v>
      </c>
      <c r="F33" s="908">
        <f>SUMIF('Additional Study Activities'!$Q:$Q,X33,'Additional Study Activities'!$N:$N)</f>
        <v>0</v>
      </c>
      <c r="G33" s="909">
        <f>SUMIF('Additional Study Activities'!$Q:$Q,Y33,'Additional Study Activities'!$N:$N)</f>
        <v>0</v>
      </c>
      <c r="H33" s="910">
        <f>SUMIF('Additional Study Activities'!$Q:$Q,Z33,'Additional Study Activities'!$N:$N)</f>
        <v>0</v>
      </c>
      <c r="I33" s="911">
        <f>SUM(D33:H33)</f>
        <v>0</v>
      </c>
      <c r="J33" s="831"/>
      <c r="K33" s="896"/>
      <c r="L33" s="896"/>
      <c r="M33" s="831"/>
      <c r="N33" s="831"/>
      <c r="O33" s="831"/>
      <c r="P33" s="831"/>
      <c r="Q33" s="831"/>
      <c r="R33" s="831"/>
      <c r="S33" s="831"/>
      <c r="T33" s="831"/>
      <c r="U33" s="831"/>
      <c r="V33" s="831" t="str">
        <f>A33&amp;'Look Up'!$A$5</f>
        <v>Adhoc costsService Support Cost</v>
      </c>
      <c r="W33" s="831" t="str">
        <f>A33&amp;'Look Up'!$A$6</f>
        <v>Adhoc costsResearch Cost A</v>
      </c>
      <c r="X33" s="831" t="str">
        <f>A33&amp;'Look Up'!$A$7</f>
        <v>Adhoc costsResearch Cost B</v>
      </c>
      <c r="Y33" s="831" t="str">
        <f>A33&amp;'Look Up'!$A$8</f>
        <v>Adhoc costsTreatment Costs</v>
      </c>
      <c r="Z33" s="831" t="str">
        <f>A33&amp;'Look Up'!$A$9</f>
        <v>Adhoc costsExcess Treatment Costs</v>
      </c>
      <c r="AA33" s="831"/>
      <c r="AB33" s="831"/>
      <c r="AC33" s="831"/>
      <c r="AD33" s="831"/>
      <c r="AE33" s="831"/>
      <c r="AF33" s="831"/>
    </row>
    <row r="34" spans="1:32" ht="19.5" customHeight="1" thickBot="1">
      <c r="A34" s="914" t="s">
        <v>2451</v>
      </c>
      <c r="B34" s="915">
        <v>700001</v>
      </c>
      <c r="C34" s="838"/>
      <c r="D34" s="916"/>
      <c r="E34" s="917">
        <f>(IF(B122="No",0,(IF(B122="Yes",Nope1*'Study Information &amp; rates'!B28+Nope2*'Study Information &amp; rates'!B27+Nope3*'Study Information &amp; rates'!B29+Nope4*'Study Information &amp; rates'!B30+Nope5*'Study Information &amp; rates'!B31,0))))*'Set-up and other costs'!B18</f>
        <v>0</v>
      </c>
      <c r="F34" s="918"/>
      <c r="G34" s="919"/>
      <c r="H34" s="920"/>
      <c r="I34" s="911">
        <f>SUM(D34:H34)</f>
        <v>0</v>
      </c>
      <c r="J34" s="831"/>
      <c r="K34" s="896"/>
      <c r="L34" s="896"/>
      <c r="M34" s="831"/>
      <c r="N34" s="831"/>
      <c r="O34" s="831"/>
      <c r="P34" s="831"/>
      <c r="Q34" s="831"/>
      <c r="R34" s="831"/>
      <c r="S34" s="831"/>
      <c r="T34" s="831"/>
      <c r="U34" s="831"/>
      <c r="V34" s="831" t="str">
        <f>A34&amp;'Look Up'!$A$5</f>
        <v>Indirect cost e.g (overheads)Service Support Cost</v>
      </c>
      <c r="W34" s="831" t="str">
        <f>A34&amp;'Look Up'!$A$6</f>
        <v>Indirect cost e.g (overheads)Research Cost A</v>
      </c>
      <c r="X34" s="831" t="str">
        <f>A34&amp;'Look Up'!$A$7</f>
        <v>Indirect cost e.g (overheads)Research Cost B</v>
      </c>
      <c r="Y34" s="831" t="str">
        <f>A34&amp;'Look Up'!$A$8</f>
        <v>Indirect cost e.g (overheads)Treatment Costs</v>
      </c>
      <c r="Z34" s="831" t="str">
        <f>A34&amp;'Look Up'!$A$9</f>
        <v>Indirect cost e.g (overheads)Excess Treatment Costs</v>
      </c>
      <c r="AA34" s="831"/>
      <c r="AB34" s="831"/>
      <c r="AC34" s="831"/>
      <c r="AD34" s="831"/>
      <c r="AE34" s="831"/>
      <c r="AF34" s="831"/>
    </row>
    <row r="35" spans="1:32" ht="19.5" customHeight="1" thickBot="1">
      <c r="A35" s="914" t="s">
        <v>2464</v>
      </c>
      <c r="B35" s="915">
        <v>701716</v>
      </c>
      <c r="C35" s="838"/>
      <c r="D35" s="916"/>
      <c r="E35" s="917">
        <f>'Set-up and other costs'!C5+'Set-up and other costs'!C4</f>
        <v>500</v>
      </c>
      <c r="F35" s="918"/>
      <c r="G35" s="919"/>
      <c r="H35" s="920"/>
      <c r="I35" s="911">
        <f>SUM(D35:H35)</f>
        <v>500</v>
      </c>
      <c r="J35" s="831"/>
      <c r="K35" s="896"/>
      <c r="L35" s="896"/>
      <c r="M35" s="831"/>
      <c r="N35" s="831"/>
      <c r="O35" s="831"/>
      <c r="P35" s="831"/>
      <c r="Q35" s="831"/>
      <c r="R35" s="831"/>
      <c r="S35" s="831"/>
      <c r="T35" s="831"/>
      <c r="U35" s="831"/>
      <c r="V35" s="831" t="str">
        <f>A35&amp;'Look Up'!$A$5</f>
        <v>Sponsorship Fee or R&amp;D management fee, as applicableService Support Cost</v>
      </c>
      <c r="W35" s="831" t="str">
        <f>A35&amp;'Look Up'!$A$6</f>
        <v>Sponsorship Fee or R&amp;D management fee, as applicableResearch Cost A</v>
      </c>
      <c r="X35" s="831" t="str">
        <f>A35&amp;'Look Up'!$A$7</f>
        <v>Sponsorship Fee or R&amp;D management fee, as applicableResearch Cost B</v>
      </c>
      <c r="Y35" s="831" t="str">
        <f>A35&amp;'Look Up'!$A$8</f>
        <v>Sponsorship Fee or R&amp;D management fee, as applicableTreatment Costs</v>
      </c>
      <c r="Z35" s="831" t="str">
        <f>A35&amp;'Look Up'!$A$9</f>
        <v>Sponsorship Fee or R&amp;D management fee, as applicableExcess Treatment Costs</v>
      </c>
      <c r="AA35" s="831"/>
      <c r="AB35" s="831"/>
      <c r="AC35" s="831"/>
      <c r="AD35" s="831"/>
      <c r="AE35" s="831"/>
      <c r="AF35" s="831"/>
    </row>
    <row r="36" spans="1:32" ht="19.5" customHeight="1" thickBot="1">
      <c r="A36" s="914" t="s">
        <v>2407</v>
      </c>
      <c r="B36" s="915">
        <v>700040</v>
      </c>
      <c r="C36" s="838"/>
      <c r="D36" s="916"/>
      <c r="E36" s="917">
        <f>'Set-up and other costs'!C6</f>
        <v>0</v>
      </c>
      <c r="F36" s="918"/>
      <c r="G36" s="919"/>
      <c r="H36" s="920"/>
      <c r="I36" s="911">
        <f>SUM(D36:H36)</f>
        <v>0</v>
      </c>
      <c r="J36" s="831"/>
      <c r="K36" s="896"/>
      <c r="L36" s="896"/>
      <c r="M36" s="831"/>
      <c r="N36" s="831"/>
      <c r="O36" s="831"/>
      <c r="P36" s="831"/>
      <c r="Q36" s="831"/>
      <c r="R36" s="831"/>
      <c r="S36" s="831"/>
      <c r="T36" s="831"/>
      <c r="U36" s="831"/>
      <c r="V36" s="831" t="str">
        <f>A36&amp;'Look Up'!$A$5</f>
        <v>ArchivingService Support Cost</v>
      </c>
      <c r="W36" s="831" t="str">
        <f>A36&amp;'Look Up'!$A$6</f>
        <v>ArchivingResearch Cost A</v>
      </c>
      <c r="X36" s="831" t="str">
        <f>A36&amp;'Look Up'!$A$7</f>
        <v>ArchivingResearch Cost B</v>
      </c>
      <c r="Y36" s="831" t="str">
        <f>A36&amp;'Look Up'!$A$8</f>
        <v>ArchivingTreatment Costs</v>
      </c>
      <c r="Z36" s="831" t="str">
        <f>A36&amp;'Look Up'!$A$9</f>
        <v>ArchivingExcess Treatment Costs</v>
      </c>
      <c r="AA36" s="831"/>
      <c r="AB36" s="831"/>
      <c r="AC36" s="831"/>
      <c r="AD36" s="831"/>
      <c r="AE36" s="831"/>
      <c r="AF36" s="831"/>
    </row>
    <row r="37" spans="1:32" ht="19.5" customHeight="1" thickBot="1">
      <c r="A37" s="921"/>
      <c r="B37" s="922"/>
      <c r="C37" s="923" t="s">
        <v>2452</v>
      </c>
      <c r="D37" s="924"/>
      <c r="E37" s="924"/>
      <c r="F37" s="924"/>
      <c r="G37" s="924"/>
      <c r="H37" s="924"/>
      <c r="I37" s="925"/>
      <c r="J37" s="831"/>
      <c r="K37" s="831"/>
      <c r="L37" s="831"/>
      <c r="M37" s="831"/>
      <c r="N37" s="831"/>
      <c r="O37" s="831"/>
      <c r="P37" s="831"/>
      <c r="Q37" s="831"/>
      <c r="R37" s="831"/>
      <c r="S37" s="831"/>
      <c r="T37" s="831"/>
      <c r="U37" s="831"/>
      <c r="V37" s="831"/>
      <c r="W37" s="831"/>
      <c r="X37" s="831"/>
      <c r="Y37" s="831"/>
      <c r="Z37" s="831"/>
      <c r="AA37" s="831"/>
      <c r="AB37" s="831"/>
      <c r="AC37" s="831"/>
      <c r="AD37" s="831"/>
      <c r="AE37" s="831"/>
      <c r="AF37" s="831"/>
    </row>
    <row r="38" spans="1:32" ht="19.5" customHeight="1" thickBot="1">
      <c r="A38" s="926" t="s">
        <v>2195</v>
      </c>
      <c r="B38" s="921"/>
      <c r="C38" s="846">
        <f>SUM('UHS Individual cost'!I3:I9,'UHS Individual cost'!I13:I18,'UHS Individual cost'!I22:I26)</f>
        <v>0</v>
      </c>
      <c r="D38" s="927">
        <f>SUM('UHS Individual cost'!M3:M9,'UHS Individual cost'!M13:M18,'UHS Individual cost'!M22:M26)</f>
        <v>0</v>
      </c>
      <c r="E38" s="928">
        <f>SUM('UHS Individual cost'!K3:K9,'UHS Individual cost'!K13:K18,'UHS Individual cost'!K22:K26)</f>
        <v>0</v>
      </c>
      <c r="F38" s="929">
        <f>SUM('UHS Individual cost'!L3:L9,'UHS Individual cost'!L13:L18,'UHS Individual cost'!L22:L26)</f>
        <v>0</v>
      </c>
      <c r="G38" s="930">
        <f>SUM('UHS Individual cost'!N3:N9,'UHS Individual cost'!N13:N18,'UHS Individual cost'!N22:N26)</f>
        <v>0</v>
      </c>
      <c r="H38" s="931">
        <f>SUM('UHS Individual cost'!O3:O9,'UHS Individual cost'!O13:O18,'UHS Individual cost'!O22:O26)</f>
        <v>0</v>
      </c>
      <c r="I38" s="911">
        <f>SUM(C38:H38)</f>
        <v>0</v>
      </c>
      <c r="J38" s="831"/>
      <c r="K38" s="831"/>
      <c r="L38" s="831"/>
      <c r="M38" s="831"/>
      <c r="N38" s="831"/>
      <c r="O38" s="831"/>
      <c r="P38" s="831"/>
      <c r="Q38" s="831"/>
      <c r="R38" s="831"/>
      <c r="S38" s="831"/>
      <c r="T38" s="831"/>
      <c r="U38" s="831"/>
      <c r="V38" s="831"/>
      <c r="W38" s="831"/>
      <c r="X38" s="831"/>
      <c r="Y38" s="831"/>
      <c r="Z38" s="831"/>
      <c r="AA38" s="831"/>
      <c r="AB38" s="831"/>
      <c r="AC38" s="831"/>
      <c r="AD38" s="831"/>
      <c r="AE38" s="831"/>
      <c r="AF38" s="831"/>
    </row>
    <row r="39" spans="1:32" ht="19.5" customHeight="1" thickBot="1">
      <c r="A39" s="932" t="s">
        <v>2239</v>
      </c>
      <c r="B39" s="846"/>
      <c r="C39" s="838"/>
      <c r="D39" s="906">
        <f>SUM('UHS Individual cost'!M31:M40)</f>
        <v>0</v>
      </c>
      <c r="E39" s="907">
        <f>SUM('UHS Individual cost'!K31:K40)</f>
        <v>0</v>
      </c>
      <c r="F39" s="908">
        <f>SUM('UHS Individual cost'!L31:L40)</f>
        <v>0</v>
      </c>
      <c r="G39" s="909">
        <f>SUM('UHS Individual cost'!N31:N40)</f>
        <v>0</v>
      </c>
      <c r="H39" s="910">
        <f>SUM('UHS Individual cost'!O31:O40)</f>
        <v>0</v>
      </c>
      <c r="I39" s="911">
        <f>SUM(D39:H39)</f>
        <v>0</v>
      </c>
      <c r="J39" s="831"/>
      <c r="K39" s="831"/>
      <c r="L39" s="831"/>
      <c r="M39" s="831"/>
      <c r="N39" s="831"/>
      <c r="O39" s="831"/>
      <c r="P39" s="831"/>
      <c r="Q39" s="831"/>
      <c r="R39" s="831"/>
      <c r="S39" s="831"/>
      <c r="T39" s="831"/>
      <c r="U39" s="831"/>
      <c r="V39" s="831"/>
      <c r="W39" s="831"/>
      <c r="X39" s="831"/>
      <c r="Y39" s="831"/>
      <c r="Z39" s="831"/>
      <c r="AA39" s="831"/>
      <c r="AB39" s="831"/>
      <c r="AC39" s="831"/>
      <c r="AD39" s="831"/>
      <c r="AE39" s="831"/>
      <c r="AF39" s="831"/>
    </row>
    <row r="40" spans="1:32" ht="19.5" customHeight="1" thickBot="1">
      <c r="A40" s="859" t="s">
        <v>2196</v>
      </c>
      <c r="B40" s="933"/>
      <c r="C40" s="838"/>
      <c r="D40" s="916">
        <f>SUM('UHS Individual cost'!M46:M50,'UHS Individual cost'!M52:M56,'UHS Individual cost'!M58:M62,'UHS Individual cost'!M64:M71)+'UHS Individual cost'!C88+'UHS Individual cost'!C87</f>
        <v>0</v>
      </c>
      <c r="E40" s="917">
        <f>SUM('UHS Individual cost'!K46:K50,'UHS Individual cost'!K52:K56,'UHS Individual cost'!K58:K62,'UHS Individual cost'!K64:K71)+'UHS Individual cost'!A88+'UHS Individual cost'!A87</f>
        <v>0</v>
      </c>
      <c r="F40" s="918">
        <f>SUM('UHS Individual cost'!L46:L50,'UHS Individual cost'!L52:L56,'UHS Individual cost'!L58:L62,'UHS Individual cost'!L64:L71)+'UHS Individual cost'!B88+'UHS Individual cost'!B87</f>
        <v>0</v>
      </c>
      <c r="G40" s="934">
        <f>SUM('UHS Individual cost'!N46:N50,'UHS Individual cost'!N52:N56,'UHS Individual cost'!N58:N62,'UHS Individual cost'!N64:N71)+'UHS Individual cost'!D88+'UHS Individual cost'!D87</f>
        <v>0</v>
      </c>
      <c r="H40" s="920">
        <f>SUM('UHS Individual cost'!O46:O50,'UHS Individual cost'!O52:O56,'UHS Individual cost'!O58:O62,'UHS Individual cost'!O64:O71)+'UHS Individual cost'!E88+'UHS Individual cost'!E87</f>
        <v>0</v>
      </c>
      <c r="I40" s="935">
        <f>SUM(D40:H40)</f>
        <v>0</v>
      </c>
      <c r="J40" s="936">
        <f>SUM(I38,I39,I40)</f>
        <v>0</v>
      </c>
      <c r="K40" s="831"/>
      <c r="L40" s="831"/>
      <c r="M40" s="831"/>
      <c r="N40" s="831"/>
      <c r="O40" s="831"/>
      <c r="P40" s="831"/>
      <c r="Q40" s="831"/>
      <c r="R40" s="831"/>
      <c r="S40" s="831"/>
      <c r="T40" s="831"/>
      <c r="U40" s="831"/>
      <c r="V40" s="831"/>
      <c r="W40" s="831"/>
      <c r="X40" s="831"/>
      <c r="Y40" s="831"/>
      <c r="Z40" s="831"/>
      <c r="AA40" s="831"/>
      <c r="AB40" s="831"/>
      <c r="AC40" s="831"/>
      <c r="AD40" s="831"/>
      <c r="AE40" s="831"/>
      <c r="AF40" s="831"/>
    </row>
    <row r="41" spans="1:35" ht="30.75" customHeight="1" thickBot="1">
      <c r="A41" s="937" t="s">
        <v>2335</v>
      </c>
      <c r="B41" s="937"/>
      <c r="C41" s="838"/>
      <c r="D41" s="938">
        <f>SUM(D20:D40)</f>
        <v>0</v>
      </c>
      <c r="E41" s="938">
        <f>SUM(E20:E40)</f>
        <v>500</v>
      </c>
      <c r="F41" s="938">
        <f>SUM(F20:F40)</f>
        <v>0</v>
      </c>
      <c r="G41" s="938">
        <f>SUM(G20:G40)</f>
        <v>0</v>
      </c>
      <c r="H41" s="938">
        <f>SUM(H20:H40)</f>
        <v>0</v>
      </c>
      <c r="I41" s="939">
        <f>SUM(I18:I36,I38:I40)</f>
        <v>500</v>
      </c>
      <c r="J41" s="940"/>
      <c r="K41" s="831"/>
      <c r="L41" s="941"/>
      <c r="M41" s="942"/>
      <c r="N41" s="943"/>
      <c r="O41" s="940"/>
      <c r="P41" s="940"/>
      <c r="Q41" s="944"/>
      <c r="R41" s="831"/>
      <c r="S41" s="941"/>
      <c r="T41" s="942"/>
      <c r="U41" s="942"/>
      <c r="V41" s="940"/>
      <c r="W41" s="943"/>
      <c r="X41" s="940"/>
      <c r="Y41" s="940"/>
      <c r="Z41" s="944"/>
      <c r="AA41" s="831"/>
      <c r="AB41" s="941"/>
      <c r="AC41" s="942"/>
      <c r="AD41" s="942"/>
      <c r="AE41" s="940"/>
      <c r="AF41" s="943"/>
      <c r="AG41" s="630"/>
      <c r="AH41" s="630"/>
      <c r="AI41" s="631"/>
    </row>
    <row r="42" spans="1:35" ht="19.5" customHeight="1" thickBot="1">
      <c r="A42" s="942"/>
      <c r="B42" s="942"/>
      <c r="C42" s="940"/>
      <c r="D42" s="943"/>
      <c r="E42" s="944"/>
      <c r="F42" s="831"/>
      <c r="G42" s="941"/>
      <c r="H42" s="940"/>
      <c r="I42" s="940"/>
      <c r="J42" s="940"/>
      <c r="K42" s="831"/>
      <c r="L42" s="941"/>
      <c r="M42" s="942"/>
      <c r="N42" s="943"/>
      <c r="O42" s="940"/>
      <c r="P42" s="940"/>
      <c r="Q42" s="944"/>
      <c r="R42" s="831"/>
      <c r="S42" s="941"/>
      <c r="T42" s="942"/>
      <c r="U42" s="942"/>
      <c r="V42" s="940"/>
      <c r="W42" s="943"/>
      <c r="X42" s="940"/>
      <c r="Y42" s="940"/>
      <c r="Z42" s="944"/>
      <c r="AA42" s="831"/>
      <c r="AB42" s="941"/>
      <c r="AC42" s="942"/>
      <c r="AD42" s="942"/>
      <c r="AE42" s="940"/>
      <c r="AF42" s="943"/>
      <c r="AG42" s="630"/>
      <c r="AH42" s="630"/>
      <c r="AI42" s="631"/>
    </row>
    <row r="43" spans="1:32" ht="30" customHeight="1" thickBot="1">
      <c r="A43" s="945" t="s">
        <v>2334</v>
      </c>
      <c r="B43" s="946"/>
      <c r="C43" s="838"/>
      <c r="D43" s="947"/>
      <c r="E43" s="947">
        <f>+'Set-up and other costs'!C7</f>
        <v>0</v>
      </c>
      <c r="F43" s="947"/>
      <c r="G43" s="948"/>
      <c r="H43" s="949"/>
      <c r="I43" s="950">
        <f>SUM(D43:H43)</f>
        <v>0</v>
      </c>
      <c r="J43" s="831"/>
      <c r="K43" s="896"/>
      <c r="L43" s="896"/>
      <c r="M43" s="831"/>
      <c r="N43" s="831"/>
      <c r="O43" s="831"/>
      <c r="P43" s="831"/>
      <c r="Q43" s="831"/>
      <c r="R43" s="831"/>
      <c r="S43" s="831"/>
      <c r="T43" s="831"/>
      <c r="U43" s="831"/>
      <c r="V43" s="831" t="str">
        <f>A43&amp;'Look Up'!$A$5</f>
        <v>Other institutions costService Support Cost</v>
      </c>
      <c r="W43" s="831" t="str">
        <f>A43&amp;'Look Up'!$A$6</f>
        <v>Other institutions costResearch Cost A</v>
      </c>
      <c r="X43" s="831" t="str">
        <f>A43&amp;'Look Up'!$A$7</f>
        <v>Other institutions costResearch Cost B</v>
      </c>
      <c r="Y43" s="831" t="str">
        <f>A43&amp;'Look Up'!$A$8</f>
        <v>Other institutions costTreatment Costs</v>
      </c>
      <c r="Z43" s="831" t="str">
        <f>A43&amp;'Look Up'!$A$9</f>
        <v>Other institutions costExcess Treatment Costs</v>
      </c>
      <c r="AA43" s="831"/>
      <c r="AB43" s="831"/>
      <c r="AC43" s="831"/>
      <c r="AD43" s="831"/>
      <c r="AE43" s="831"/>
      <c r="AF43" s="831"/>
    </row>
    <row r="44" spans="1:32" ht="33.75" customHeight="1" thickBot="1">
      <c r="A44" s="951" t="str">
        <f>G15</f>
        <v>Total Project cost</v>
      </c>
      <c r="B44" s="952"/>
      <c r="C44" s="953"/>
      <c r="D44" s="954">
        <f>SUM(D20:D40)</f>
        <v>0</v>
      </c>
      <c r="E44" s="954">
        <f>SUM(E20:E40,E43)</f>
        <v>500</v>
      </c>
      <c r="F44" s="954">
        <f>SUM(F20:F40,F43)</f>
        <v>0</v>
      </c>
      <c r="G44" s="954">
        <f>SUM(G20:G40,G43)</f>
        <v>0</v>
      </c>
      <c r="H44" s="954">
        <f>SUM(H20:H40,H43)</f>
        <v>0</v>
      </c>
      <c r="I44" s="955">
        <f>SUM(I20:I40)+I43</f>
        <v>500</v>
      </c>
      <c r="J44" s="831"/>
      <c r="K44" s="896">
        <f>SUM(K18:K36)</f>
        <v>0</v>
      </c>
      <c r="L44" s="896"/>
      <c r="M44" s="831"/>
      <c r="N44" s="831"/>
      <c r="O44" s="831"/>
      <c r="P44" s="831"/>
      <c r="Q44" s="831"/>
      <c r="R44" s="831"/>
      <c r="S44" s="831"/>
      <c r="T44" s="831"/>
      <c r="U44" s="831"/>
      <c r="V44" s="831"/>
      <c r="W44" s="831"/>
      <c r="X44" s="831"/>
      <c r="Y44" s="831"/>
      <c r="Z44" s="831"/>
      <c r="AA44" s="831"/>
      <c r="AB44" s="831"/>
      <c r="AC44" s="831"/>
      <c r="AD44" s="831"/>
      <c r="AE44" s="831"/>
      <c r="AF44" s="831"/>
    </row>
    <row r="45" spans="1:35" ht="14.5">
      <c r="A45" s="942"/>
      <c r="B45" s="942"/>
      <c r="C45" s="940"/>
      <c r="D45" s="943"/>
      <c r="E45" s="944"/>
      <c r="F45" s="831"/>
      <c r="G45" s="941"/>
      <c r="H45" s="940"/>
      <c r="I45" s="943"/>
      <c r="J45" s="940"/>
      <c r="K45" s="831"/>
      <c r="L45" s="941"/>
      <c r="M45" s="942"/>
      <c r="N45" s="943"/>
      <c r="O45" s="940"/>
      <c r="P45" s="940"/>
      <c r="Q45" s="944"/>
      <c r="R45" s="831"/>
      <c r="S45" s="941"/>
      <c r="T45" s="942"/>
      <c r="U45" s="942"/>
      <c r="V45" s="940"/>
      <c r="W45" s="943"/>
      <c r="X45" s="940"/>
      <c r="Y45" s="940"/>
      <c r="Z45" s="944"/>
      <c r="AA45" s="831"/>
      <c r="AB45" s="941"/>
      <c r="AC45" s="942"/>
      <c r="AD45" s="942"/>
      <c r="AE45" s="940"/>
      <c r="AF45" s="943"/>
      <c r="AG45" s="630"/>
      <c r="AH45" s="630"/>
      <c r="AI45" s="631"/>
    </row>
    <row r="46" spans="1:35" ht="15.5">
      <c r="A46" s="956" t="s">
        <v>2077</v>
      </c>
      <c r="B46" s="957" t="str">
        <f>IF(Reconciliation!B42=0,"True","False")</f>
        <v>True</v>
      </c>
      <c r="C46" s="958"/>
      <c r="D46" s="959"/>
      <c r="E46" s="944"/>
      <c r="F46" s="831"/>
      <c r="G46" s="941"/>
      <c r="H46" s="940"/>
      <c r="I46" s="943"/>
      <c r="J46" s="940"/>
      <c r="K46" s="831"/>
      <c r="L46" s="941"/>
      <c r="M46" s="942"/>
      <c r="N46" s="943"/>
      <c r="O46" s="940"/>
      <c r="P46" s="940"/>
      <c r="Q46" s="944"/>
      <c r="R46" s="831"/>
      <c r="S46" s="941"/>
      <c r="T46" s="942"/>
      <c r="U46" s="942"/>
      <c r="V46" s="940"/>
      <c r="W46" s="943"/>
      <c r="X46" s="940"/>
      <c r="Y46" s="940"/>
      <c r="Z46" s="944"/>
      <c r="AA46" s="831"/>
      <c r="AB46" s="941"/>
      <c r="AC46" s="942"/>
      <c r="AD46" s="942"/>
      <c r="AE46" s="940"/>
      <c r="AF46" s="943"/>
      <c r="AG46" s="630"/>
      <c r="AH46" s="630"/>
      <c r="AI46" s="631"/>
    </row>
    <row r="47" spans="1:35" ht="14.5">
      <c r="A47" s="628"/>
      <c r="B47" s="628"/>
      <c r="C47" s="626"/>
      <c r="D47" s="627"/>
      <c r="E47" s="624"/>
      <c r="F47" s="401"/>
      <c r="G47" s="625"/>
      <c r="H47" s="626"/>
      <c r="I47" s="627"/>
      <c r="J47" s="626"/>
      <c r="K47" s="401"/>
      <c r="L47" s="625"/>
      <c r="M47" s="628"/>
      <c r="N47" s="629"/>
      <c r="O47" s="630"/>
      <c r="P47" s="630"/>
      <c r="Q47" s="631"/>
      <c r="S47" s="632"/>
      <c r="T47" s="633"/>
      <c r="U47" s="633"/>
      <c r="V47" s="630"/>
      <c r="W47" s="629"/>
      <c r="X47" s="630"/>
      <c r="Y47" s="630"/>
      <c r="Z47" s="631"/>
      <c r="AB47" s="632"/>
      <c r="AC47" s="633"/>
      <c r="AD47" s="633"/>
      <c r="AE47" s="630"/>
      <c r="AF47" s="629"/>
      <c r="AG47" s="630"/>
      <c r="AH47" s="630"/>
      <c r="AI47" s="631"/>
    </row>
    <row r="48" spans="1:35" ht="14.5">
      <c r="A48" s="628"/>
      <c r="B48" s="628"/>
      <c r="C48" s="626"/>
      <c r="D48" s="627"/>
      <c r="E48" s="624"/>
      <c r="F48" s="401"/>
      <c r="G48" s="625"/>
      <c r="H48" s="626"/>
      <c r="I48" s="627"/>
      <c r="J48" s="626"/>
      <c r="K48" s="401"/>
      <c r="L48" s="625"/>
      <c r="M48" s="628"/>
      <c r="N48" s="629"/>
      <c r="O48" s="630"/>
      <c r="P48" s="630"/>
      <c r="Q48" s="631"/>
      <c r="S48" s="632"/>
      <c r="T48" s="633"/>
      <c r="U48" s="633"/>
      <c r="V48" s="630"/>
      <c r="W48" s="629"/>
      <c r="X48" s="630"/>
      <c r="Y48" s="630"/>
      <c r="Z48" s="631"/>
      <c r="AB48" s="632"/>
      <c r="AC48" s="633"/>
      <c r="AD48" s="633"/>
      <c r="AE48" s="630"/>
      <c r="AF48" s="629"/>
      <c r="AG48" s="630"/>
      <c r="AH48" s="630"/>
      <c r="AI48" s="631"/>
    </row>
    <row r="49" spans="1:35" ht="14.5">
      <c r="A49" s="628"/>
      <c r="B49" s="628"/>
      <c r="C49" s="626"/>
      <c r="D49" s="627"/>
      <c r="E49" s="624"/>
      <c r="F49" s="401"/>
      <c r="G49" s="625"/>
      <c r="H49" s="626"/>
      <c r="I49" s="627"/>
      <c r="J49" s="626"/>
      <c r="K49" s="401"/>
      <c r="L49" s="625"/>
      <c r="M49" s="628"/>
      <c r="N49" s="629"/>
      <c r="O49" s="630"/>
      <c r="P49" s="630"/>
      <c r="Q49" s="631"/>
      <c r="S49" s="632"/>
      <c r="T49" s="633"/>
      <c r="U49" s="633"/>
      <c r="V49" s="630"/>
      <c r="W49" s="629"/>
      <c r="X49" s="630"/>
      <c r="Y49" s="630"/>
      <c r="Z49" s="631"/>
      <c r="AB49" s="632"/>
      <c r="AC49" s="633"/>
      <c r="AD49" s="633"/>
      <c r="AE49" s="630"/>
      <c r="AF49" s="629"/>
      <c r="AG49" s="630"/>
      <c r="AH49" s="630"/>
      <c r="AI49" s="631"/>
    </row>
    <row r="50" spans="1:35" ht="14.5">
      <c r="A50" s="628"/>
      <c r="B50" s="628"/>
      <c r="C50" s="626"/>
      <c r="D50" s="627"/>
      <c r="E50" s="624"/>
      <c r="F50" s="401"/>
      <c r="G50" s="625"/>
      <c r="H50" s="626"/>
      <c r="I50" s="627"/>
      <c r="J50" s="626"/>
      <c r="K50" s="401"/>
      <c r="L50" s="625"/>
      <c r="M50" s="628"/>
      <c r="N50" s="629"/>
      <c r="O50" s="630"/>
      <c r="P50" s="630"/>
      <c r="Q50" s="631"/>
      <c r="S50" s="632"/>
      <c r="T50" s="633"/>
      <c r="U50" s="633"/>
      <c r="V50" s="630"/>
      <c r="W50" s="629"/>
      <c r="X50" s="630"/>
      <c r="Y50" s="630"/>
      <c r="Z50" s="631"/>
      <c r="AB50" s="632"/>
      <c r="AC50" s="633"/>
      <c r="AD50" s="633"/>
      <c r="AE50" s="630"/>
      <c r="AF50" s="629"/>
      <c r="AG50" s="630"/>
      <c r="AH50" s="630"/>
      <c r="AI50" s="631"/>
    </row>
    <row r="51" spans="1:35" ht="14.5">
      <c r="A51" s="628"/>
      <c r="B51" s="628"/>
      <c r="C51" s="626"/>
      <c r="D51" s="627"/>
      <c r="E51" s="624"/>
      <c r="F51" s="401"/>
      <c r="G51" s="625"/>
      <c r="H51" s="626"/>
      <c r="I51" s="627"/>
      <c r="J51" s="626"/>
      <c r="K51" s="401"/>
      <c r="L51" s="625"/>
      <c r="M51" s="628"/>
      <c r="N51" s="629"/>
      <c r="O51" s="630"/>
      <c r="P51" s="630"/>
      <c r="Q51" s="631"/>
      <c r="S51" s="632"/>
      <c r="T51" s="633"/>
      <c r="U51" s="633"/>
      <c r="V51" s="630"/>
      <c r="W51" s="629"/>
      <c r="X51" s="630"/>
      <c r="Y51" s="630"/>
      <c r="Z51" s="631"/>
      <c r="AB51" s="632"/>
      <c r="AC51" s="633"/>
      <c r="AD51" s="633"/>
      <c r="AE51" s="630"/>
      <c r="AF51" s="629"/>
      <c r="AG51" s="630"/>
      <c r="AH51" s="630"/>
      <c r="AI51" s="631"/>
    </row>
    <row r="52" spans="1:35" ht="14.5">
      <c r="A52" s="628"/>
      <c r="B52" s="628"/>
      <c r="C52" s="626"/>
      <c r="D52" s="627"/>
      <c r="E52" s="624"/>
      <c r="F52" s="401"/>
      <c r="G52" s="625"/>
      <c r="H52" s="626"/>
      <c r="I52" s="627"/>
      <c r="J52" s="626"/>
      <c r="K52" s="401"/>
      <c r="L52" s="625"/>
      <c r="M52" s="628"/>
      <c r="N52" s="629"/>
      <c r="O52" s="630"/>
      <c r="P52" s="630"/>
      <c r="Q52" s="631"/>
      <c r="S52" s="632"/>
      <c r="T52" s="633"/>
      <c r="U52" s="633"/>
      <c r="V52" s="630"/>
      <c r="W52" s="629"/>
      <c r="X52" s="630"/>
      <c r="Y52" s="630"/>
      <c r="Z52" s="631"/>
      <c r="AB52" s="632"/>
      <c r="AC52" s="633"/>
      <c r="AD52" s="633"/>
      <c r="AE52" s="630"/>
      <c r="AF52" s="629"/>
      <c r="AG52" s="630"/>
      <c r="AH52" s="630"/>
      <c r="AI52" s="631"/>
    </row>
    <row r="53" spans="1:35" ht="14.5">
      <c r="A53" s="628"/>
      <c r="B53" s="628"/>
      <c r="C53" s="626"/>
      <c r="D53" s="627"/>
      <c r="E53" s="624"/>
      <c r="F53" s="401"/>
      <c r="G53" s="625"/>
      <c r="H53" s="626"/>
      <c r="I53" s="627"/>
      <c r="J53" s="626"/>
      <c r="K53" s="401"/>
      <c r="L53" s="625"/>
      <c r="M53" s="628"/>
      <c r="N53" s="629"/>
      <c r="O53" s="630"/>
      <c r="P53" s="630"/>
      <c r="Q53" s="631"/>
      <c r="S53" s="632"/>
      <c r="T53" s="633"/>
      <c r="U53" s="633"/>
      <c r="V53" s="630"/>
      <c r="W53" s="629"/>
      <c r="X53" s="630"/>
      <c r="Y53" s="630"/>
      <c r="Z53" s="631"/>
      <c r="AB53" s="632"/>
      <c r="AC53" s="633"/>
      <c r="AD53" s="633"/>
      <c r="AE53" s="630"/>
      <c r="AF53" s="629"/>
      <c r="AG53" s="630"/>
      <c r="AH53" s="630"/>
      <c r="AI53" s="631"/>
    </row>
    <row r="54" spans="1:13">
      <c r="A54" s="401"/>
      <c r="B54" s="401"/>
      <c r="C54" s="401"/>
      <c r="D54" s="389"/>
      <c r="E54" s="634"/>
      <c r="F54" s="401"/>
      <c r="G54" s="401"/>
      <c r="H54" s="401"/>
      <c r="I54" s="401"/>
      <c r="J54" s="401"/>
      <c r="K54" s="401" t="b">
        <f>K44=C18</f>
        <v>1</v>
      </c>
      <c r="L54" s="401"/>
      <c r="M54" s="401"/>
    </row>
    <row r="55" spans="1:4" s="401" customFormat="1" ht="14" hidden="1">
      <c r="A55" s="653" t="s">
        <v>2158</v>
      </c>
      <c r="B55" s="654"/>
      <c r="D55" s="389"/>
    </row>
    <row r="56" spans="1:7" s="401" customFormat="1" ht="14" hidden="1">
      <c r="A56" s="655"/>
      <c r="B56" s="656"/>
      <c r="C56" s="656"/>
      <c r="D56" s="657"/>
      <c r="E56" s="635"/>
      <c r="F56" s="635"/>
      <c r="G56" s="635"/>
    </row>
    <row r="57" spans="1:7" s="401" customFormat="1" ht="14" hidden="1">
      <c r="A57" s="658"/>
      <c r="B57" s="659"/>
      <c r="C57" s="659"/>
      <c r="D57" s="660"/>
      <c r="E57" s="635"/>
      <c r="F57" s="635"/>
      <c r="G57" s="635"/>
    </row>
    <row r="58" spans="1:7" s="401" customFormat="1" ht="14" hidden="1">
      <c r="A58" s="658"/>
      <c r="B58" s="659"/>
      <c r="C58" s="659"/>
      <c r="D58" s="660"/>
      <c r="E58" s="635"/>
      <c r="F58" s="635"/>
      <c r="G58" s="635"/>
    </row>
    <row r="59" spans="1:7" s="401" customFormat="1" ht="14" hidden="1">
      <c r="A59" s="658"/>
      <c r="B59" s="659"/>
      <c r="C59" s="659"/>
      <c r="D59" s="660"/>
      <c r="E59" s="635"/>
      <c r="F59" s="635"/>
      <c r="G59" s="635"/>
    </row>
    <row r="60" spans="1:7" s="401" customFormat="1" ht="14" hidden="1">
      <c r="A60" s="658"/>
      <c r="B60" s="659"/>
      <c r="C60" s="659"/>
      <c r="D60" s="660"/>
      <c r="E60" s="635"/>
      <c r="F60" s="635"/>
      <c r="G60" s="635"/>
    </row>
    <row r="61" spans="1:4" s="401" customFormat="1" hidden="1">
      <c r="A61" s="661"/>
      <c r="B61" s="662"/>
      <c r="C61" s="389"/>
      <c r="D61" s="650"/>
    </row>
    <row r="62" spans="1:4" s="401" customFormat="1" hidden="1">
      <c r="A62" s="661"/>
      <c r="B62" s="389"/>
      <c r="C62" s="389"/>
      <c r="D62" s="650"/>
    </row>
    <row r="63" spans="1:4" s="401" customFormat="1" hidden="1">
      <c r="A63" s="661"/>
      <c r="B63" s="389"/>
      <c r="C63" s="389"/>
      <c r="D63" s="650"/>
    </row>
    <row r="64" spans="1:4" s="401" customFormat="1" hidden="1">
      <c r="A64" s="661"/>
      <c r="B64" s="389"/>
      <c r="C64" s="389"/>
      <c r="D64" s="650"/>
    </row>
    <row r="65" spans="1:4" s="401" customFormat="1" hidden="1">
      <c r="A65" s="661"/>
      <c r="B65" s="389"/>
      <c r="C65" s="389"/>
      <c r="D65" s="650"/>
    </row>
    <row r="66" spans="1:4" s="401" customFormat="1" hidden="1">
      <c r="A66" s="661"/>
      <c r="B66" s="389"/>
      <c r="C66" s="389"/>
      <c r="D66" s="650"/>
    </row>
    <row r="67" spans="1:4" s="401" customFormat="1" hidden="1">
      <c r="A67" s="661"/>
      <c r="B67" s="389"/>
      <c r="C67" s="389"/>
      <c r="D67" s="650"/>
    </row>
    <row r="68" spans="1:4" s="401" customFormat="1" hidden="1">
      <c r="A68" s="661"/>
      <c r="B68" s="389"/>
      <c r="C68" s="389"/>
      <c r="D68" s="650"/>
    </row>
    <row r="69" spans="1:4" s="401" customFormat="1" hidden="1">
      <c r="A69" s="661"/>
      <c r="B69" s="389"/>
      <c r="C69" s="389"/>
      <c r="D69" s="650"/>
    </row>
    <row r="70" spans="1:4" s="401" customFormat="1" hidden="1">
      <c r="A70" s="661"/>
      <c r="B70" s="389"/>
      <c r="C70" s="389"/>
      <c r="D70" s="650"/>
    </row>
    <row r="71" spans="1:4" s="401" customFormat="1" hidden="1">
      <c r="A71" s="661"/>
      <c r="B71" s="389"/>
      <c r="C71" s="389"/>
      <c r="D71" s="650"/>
    </row>
    <row r="72" spans="1:4" s="401" customFormat="1" hidden="1">
      <c r="A72" s="661"/>
      <c r="B72" s="389"/>
      <c r="C72" s="389"/>
      <c r="D72" s="650"/>
    </row>
    <row r="73" spans="1:4" s="401" customFormat="1" hidden="1">
      <c r="A73" s="661"/>
      <c r="B73" s="389"/>
      <c r="C73" s="389"/>
      <c r="D73" s="650"/>
    </row>
    <row r="74" spans="1:4" s="401" customFormat="1" hidden="1">
      <c r="A74" s="661"/>
      <c r="B74" s="389"/>
      <c r="C74" s="389"/>
      <c r="D74" s="650"/>
    </row>
    <row r="75" spans="1:4" s="401" customFormat="1" hidden="1">
      <c r="A75" s="661"/>
      <c r="B75" s="389"/>
      <c r="C75" s="389"/>
      <c r="D75" s="650"/>
    </row>
    <row r="76" spans="1:4" s="401" customFormat="1" hidden="1">
      <c r="A76" s="661"/>
      <c r="B76" s="389"/>
      <c r="C76" s="389"/>
      <c r="D76" s="650"/>
    </row>
    <row r="77" spans="1:4" s="401" customFormat="1" hidden="1">
      <c r="A77" s="661"/>
      <c r="B77" s="389"/>
      <c r="C77" s="389"/>
      <c r="D77" s="650"/>
    </row>
    <row r="78" spans="1:4" s="401" customFormat="1" hidden="1">
      <c r="A78" s="661"/>
      <c r="B78" s="389"/>
      <c r="C78" s="389"/>
      <c r="D78" s="650"/>
    </row>
    <row r="79" spans="1:28" s="401" customFormat="1" hidden="1">
      <c r="A79" s="661"/>
      <c r="B79" s="389"/>
      <c r="C79" s="389"/>
      <c r="D79" s="650"/>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row>
    <row r="80" spans="1:28" s="401" customFormat="1" hidden="1">
      <c r="A80" s="661"/>
      <c r="B80" s="389"/>
      <c r="C80" s="389"/>
      <c r="D80" s="650"/>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row>
    <row r="81" spans="1:28" s="401" customFormat="1" hidden="1">
      <c r="A81" s="661"/>
      <c r="B81" s="389"/>
      <c r="C81" s="389"/>
      <c r="D81" s="650"/>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row>
    <row r="82" spans="1:28" s="401" customFormat="1" hidden="1">
      <c r="A82" s="661"/>
      <c r="B82" s="389"/>
      <c r="C82" s="389"/>
      <c r="D82" s="650"/>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row>
    <row r="83" spans="1:28" s="401" customFormat="1" hidden="1">
      <c r="A83" s="661"/>
      <c r="B83" s="389"/>
      <c r="C83" s="389"/>
      <c r="D83" s="650"/>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row>
    <row r="84" spans="1:28" s="401" customFormat="1" ht="15.5" hidden="1">
      <c r="A84" s="663"/>
      <c r="B84" s="664"/>
      <c r="C84" s="664"/>
      <c r="D84" s="665"/>
      <c r="E84" s="636"/>
      <c r="F84" s="637"/>
      <c r="G84" s="389"/>
      <c r="H84" s="389"/>
      <c r="I84" s="389"/>
      <c r="J84" s="389"/>
      <c r="K84" s="389"/>
      <c r="L84" s="389"/>
      <c r="M84" s="389"/>
      <c r="N84" s="389"/>
      <c r="O84" s="389"/>
      <c r="P84" s="389"/>
      <c r="Q84" s="389"/>
      <c r="R84" s="389"/>
      <c r="S84" s="389"/>
      <c r="T84" s="389"/>
      <c r="U84" s="389"/>
      <c r="V84" s="389"/>
      <c r="W84" s="389"/>
      <c r="X84" s="389"/>
      <c r="Y84" s="389"/>
      <c r="Z84" s="389"/>
      <c r="AA84" s="389"/>
      <c r="AB84" s="389"/>
    </row>
    <row r="85" spans="1:28" s="401" customFormat="1" hidden="1">
      <c r="A85" s="661"/>
      <c r="B85" s="389"/>
      <c r="C85" s="389"/>
      <c r="D85" s="650"/>
      <c r="E85" s="389"/>
      <c r="F85" s="389"/>
      <c r="G85" s="389"/>
      <c r="H85" s="389"/>
      <c r="I85" s="389"/>
      <c r="J85" s="389"/>
      <c r="K85" s="389"/>
      <c r="L85" s="389"/>
      <c r="M85" s="389"/>
      <c r="N85" s="389"/>
      <c r="O85" s="389"/>
      <c r="P85" s="389"/>
      <c r="Q85" s="389"/>
      <c r="R85" s="389"/>
      <c r="S85" s="389"/>
      <c r="T85" s="389"/>
      <c r="U85" s="389"/>
      <c r="V85" s="389"/>
      <c r="W85" s="389"/>
      <c r="X85" s="389"/>
      <c r="Y85" s="389"/>
      <c r="Z85" s="389"/>
      <c r="AA85" s="389"/>
      <c r="AB85" s="389"/>
    </row>
    <row r="86" spans="1:28" s="401" customFormat="1" ht="14.5" hidden="1">
      <c r="A86" s="666"/>
      <c r="B86" s="389"/>
      <c r="C86" s="389"/>
      <c r="D86" s="667"/>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row>
    <row r="87" spans="1:28" s="401" customFormat="1" hidden="1">
      <c r="A87" s="661"/>
      <c r="B87" s="389"/>
      <c r="C87" s="389"/>
      <c r="D87" s="650"/>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row>
    <row r="88" spans="1:28" s="401" customFormat="1" hidden="1">
      <c r="A88" s="661"/>
      <c r="B88" s="389"/>
      <c r="C88" s="389"/>
      <c r="D88" s="650"/>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row>
    <row r="89" spans="1:4" s="401" customFormat="1" ht="15.5" hidden="1">
      <c r="A89" s="668"/>
      <c r="B89" s="669"/>
      <c r="C89" s="389"/>
      <c r="D89" s="650"/>
    </row>
    <row r="90" spans="1:4" s="401" customFormat="1" ht="15.5" hidden="1">
      <c r="A90" s="670"/>
      <c r="B90" s="671"/>
      <c r="C90" s="389"/>
      <c r="D90" s="672"/>
    </row>
    <row r="91" spans="1:4" s="401" customFormat="1" ht="15.5" hidden="1">
      <c r="A91" s="673"/>
      <c r="B91" s="671"/>
      <c r="C91" s="674"/>
      <c r="D91" s="650"/>
    </row>
    <row r="92" spans="1:4" s="401" customFormat="1" ht="15.5" hidden="1">
      <c r="A92" s="673"/>
      <c r="B92" s="671"/>
      <c r="C92" s="674"/>
      <c r="D92" s="650"/>
    </row>
    <row r="93" spans="1:4" s="401" customFormat="1" ht="15.5" hidden="1">
      <c r="A93" s="675"/>
      <c r="B93" s="676"/>
      <c r="C93" s="677"/>
      <c r="D93" s="652"/>
    </row>
    <row r="94" spans="1:3" s="401" customFormat="1" ht="15.5" hidden="1">
      <c r="A94" s="678"/>
      <c r="B94" s="671"/>
      <c r="C94" s="674"/>
    </row>
    <row r="95" spans="1:1" s="401" customFormat="1" hidden="1">
      <c r="A95"/>
    </row>
    <row r="96" spans="1:1" s="401" customFormat="1" ht="13" hidden="1" thickBot="1">
      <c r="A96"/>
    </row>
    <row r="97" spans="5:7" s="401" customFormat="1" hidden="1">
      <c r="E97" s="638"/>
      <c r="F97" s="639"/>
      <c r="G97" s="640"/>
    </row>
    <row r="98" spans="5:7" s="401" customFormat="1" hidden="1">
      <c r="E98" s="641" t="s">
        <v>2160</v>
      </c>
      <c r="F98" s="602" t="s">
        <v>82</v>
      </c>
      <c r="G98" s="642">
        <f>IF('Study Information &amp; rates'!B88="Yes",('Study Information &amp; rates'!$B$32*'Study Information &amp; rates'!E95),0)</f>
        <v>0</v>
      </c>
    </row>
    <row r="99" spans="5:7" s="401" customFormat="1" hidden="1">
      <c r="E99" s="643"/>
      <c r="F99" s="602" t="s">
        <v>2128</v>
      </c>
      <c r="G99" s="642">
        <f>IF('Study Information &amp; rates'!B89="Yes",('Study Information &amp; rates'!$B$32*'Study Information &amp; rates'!E96),0)</f>
        <v>0</v>
      </c>
    </row>
    <row r="100" spans="5:7" s="401" customFormat="1" hidden="1">
      <c r="E100" s="643"/>
      <c r="F100" s="602" t="s">
        <v>2129</v>
      </c>
      <c r="G100" s="642">
        <f>IF('Study Information &amp; rates'!B90="Yes",('Study Information &amp; rates'!$B$32*'Study Information &amp; rates'!E97),0)</f>
        <v>0</v>
      </c>
    </row>
    <row r="101" spans="5:7" s="401" customFormat="1" hidden="1">
      <c r="E101" s="643"/>
      <c r="F101" s="389"/>
      <c r="G101" s="644"/>
    </row>
    <row r="102" spans="5:7" s="401" customFormat="1" ht="13" hidden="1" thickBot="1">
      <c r="E102" s="645"/>
      <c r="F102" s="646"/>
      <c r="G102" s="647"/>
    </row>
    <row r="103" spans="1:1" s="401" customFormat="1" hidden="1">
      <c r="A103"/>
    </row>
    <row r="104" spans="1:1" s="401" customFormat="1" hidden="1">
      <c r="A104"/>
    </row>
    <row r="105" spans="1:1" s="401" customFormat="1" hidden="1">
      <c r="A105"/>
    </row>
    <row r="106" spans="1:1" s="401" customFormat="1" hidden="1">
      <c r="A106"/>
    </row>
    <row r="107" spans="1:1" s="401" customFormat="1" hidden="1">
      <c r="A107"/>
    </row>
    <row r="108" spans="5:12" s="401" customFormat="1" hidden="1">
      <c r="E108" s="1037" t="s">
        <v>2157</v>
      </c>
      <c r="F108" s="1038"/>
      <c r="G108" s="1038"/>
      <c r="H108" s="1038"/>
      <c r="I108" s="1038"/>
      <c r="J108" s="1038"/>
      <c r="K108" s="1038"/>
      <c r="L108" s="1039"/>
    </row>
    <row r="109" spans="1:12" s="401" customFormat="1" ht="15.5" hidden="1">
      <c r="A109" s="679" t="s">
        <v>1985</v>
      </c>
      <c r="B109" s="680"/>
      <c r="C109" s="680"/>
      <c r="E109" s="1040"/>
      <c r="F109" s="1041"/>
      <c r="G109" s="1041"/>
      <c r="H109" s="1041"/>
      <c r="I109" s="1041"/>
      <c r="J109" s="1041"/>
      <c r="K109" s="1041"/>
      <c r="L109" s="1042"/>
    </row>
    <row r="110" spans="1:12" s="401" customFormat="1" ht="15.5" hidden="1">
      <c r="A110" s="622" t="s">
        <v>1986</v>
      </c>
      <c r="B110" s="621"/>
      <c r="C110" s="621"/>
      <c r="E110" s="1040"/>
      <c r="F110" s="1041"/>
      <c r="G110" s="1041"/>
      <c r="H110" s="1041"/>
      <c r="I110" s="1041"/>
      <c r="J110" s="1041"/>
      <c r="K110" s="1041"/>
      <c r="L110" s="1042"/>
    </row>
    <row r="111" spans="1:12" s="401" customFormat="1" ht="15.5" hidden="1">
      <c r="A111" s="622" t="s">
        <v>1987</v>
      </c>
      <c r="B111" s="621">
        <f>'Study Information &amp; rates'!B8</f>
        <v>0</v>
      </c>
      <c r="C111" s="621"/>
      <c r="D111" s="680"/>
      <c r="E111" s="1040"/>
      <c r="F111" s="1041"/>
      <c r="G111" s="1041"/>
      <c r="H111" s="1041"/>
      <c r="I111" s="1041"/>
      <c r="J111" s="1041"/>
      <c r="K111" s="1041"/>
      <c r="L111" s="1042"/>
    </row>
    <row r="112" spans="1:12" s="648" customFormat="1" ht="15.75" customHeight="1" hidden="1">
      <c r="A112" s="681" t="s">
        <v>1988</v>
      </c>
      <c r="B112" s="682">
        <f>'Study Information &amp; rates'!B7</f>
        <v>0</v>
      </c>
      <c r="C112" s="682"/>
      <c r="D112" s="682"/>
      <c r="E112" s="1040"/>
      <c r="F112" s="1041"/>
      <c r="G112" s="1041"/>
      <c r="H112" s="1041"/>
      <c r="I112" s="1041"/>
      <c r="J112" s="1041"/>
      <c r="K112" s="1041"/>
      <c r="L112" s="1042"/>
    </row>
    <row r="113" spans="1:12" s="401" customFormat="1" ht="15.5" hidden="1">
      <c r="A113" s="622" t="s">
        <v>41</v>
      </c>
      <c r="B113" s="621">
        <f>'Study Information &amp; rates'!B18</f>
        <v>0</v>
      </c>
      <c r="C113" s="621"/>
      <c r="E113" s="1040"/>
      <c r="F113" s="1041"/>
      <c r="G113" s="1041"/>
      <c r="H113" s="1041"/>
      <c r="I113" s="1041"/>
      <c r="J113" s="1041"/>
      <c r="K113" s="1041"/>
      <c r="L113" s="1042"/>
    </row>
    <row r="114" spans="1:12" s="401" customFormat="1" ht="15.5" hidden="1">
      <c r="A114" s="622" t="s">
        <v>11</v>
      </c>
      <c r="B114" s="621">
        <f>'Study Information &amp; rates'!B16</f>
        <v>0</v>
      </c>
      <c r="C114" s="621"/>
      <c r="E114" s="1040"/>
      <c r="F114" s="1041"/>
      <c r="G114" s="1041"/>
      <c r="H114" s="1041"/>
      <c r="I114" s="1041"/>
      <c r="J114" s="1041"/>
      <c r="K114" s="1041"/>
      <c r="L114" s="1042"/>
    </row>
    <row r="115" spans="1:12" s="401" customFormat="1" ht="15.5" hidden="1">
      <c r="A115" s="622" t="s">
        <v>2024</v>
      </c>
      <c r="B115" s="621">
        <f>'Study Information &amp; rates'!B17</f>
        <v>0</v>
      </c>
      <c r="C115" s="621"/>
      <c r="E115" s="1040"/>
      <c r="F115" s="1041"/>
      <c r="G115" s="1041"/>
      <c r="H115" s="1041"/>
      <c r="I115" s="1041"/>
      <c r="J115" s="1041"/>
      <c r="K115" s="1041"/>
      <c r="L115" s="1042"/>
    </row>
    <row r="116" spans="1:12" s="401" customFormat="1" ht="15.5" hidden="1">
      <c r="A116" s="622" t="s">
        <v>2044</v>
      </c>
      <c r="B116" s="621">
        <f>'Study Information &amp; rates'!B19</f>
        <v>0</v>
      </c>
      <c r="C116" s="621"/>
      <c r="E116" s="1040"/>
      <c r="F116" s="1041"/>
      <c r="G116" s="1041"/>
      <c r="H116" s="1041"/>
      <c r="I116" s="1041"/>
      <c r="J116" s="1041"/>
      <c r="K116" s="1041"/>
      <c r="L116" s="1042"/>
    </row>
    <row r="117" spans="1:12" s="401" customFormat="1" ht="15.5" hidden="1">
      <c r="A117" s="622" t="s">
        <v>1989</v>
      </c>
      <c r="B117" s="621">
        <f>'Study Information &amp; rates'!B84:D84</f>
        <v>0</v>
      </c>
      <c r="C117" s="621"/>
      <c r="E117" s="1040"/>
      <c r="F117" s="1041"/>
      <c r="G117" s="1041"/>
      <c r="H117" s="1041"/>
      <c r="I117" s="1041"/>
      <c r="J117" s="1041"/>
      <c r="K117" s="1041"/>
      <c r="L117" s="1042"/>
    </row>
    <row r="118" spans="1:12" s="401" customFormat="1" ht="15.5" hidden="1">
      <c r="A118" s="622" t="s">
        <v>1990</v>
      </c>
      <c r="B118" s="683" t="str">
        <f>'Study Information &amp; rates'!B44</f>
        <v>No</v>
      </c>
      <c r="C118" s="621"/>
      <c r="E118" s="1040"/>
      <c r="F118" s="1041"/>
      <c r="G118" s="1041"/>
      <c r="H118" s="1041"/>
      <c r="I118" s="1041"/>
      <c r="J118" s="1041"/>
      <c r="K118" s="1041"/>
      <c r="L118" s="1042"/>
    </row>
    <row r="119" spans="1:12" s="401" customFormat="1" ht="15.5" hidden="1">
      <c r="A119" s="622" t="s">
        <v>1991</v>
      </c>
      <c r="B119" s="621">
        <f>'Study Information &amp; rates'!B32</f>
        <v>0</v>
      </c>
      <c r="C119" s="621"/>
      <c r="E119" s="1040"/>
      <c r="F119" s="1041"/>
      <c r="G119" s="1041"/>
      <c r="H119" s="1041"/>
      <c r="I119" s="1041"/>
      <c r="J119" s="1041"/>
      <c r="K119" s="1041"/>
      <c r="L119" s="1042"/>
    </row>
    <row r="120" spans="1:12" s="401" customFormat="1" ht="15.5" hidden="1">
      <c r="A120" s="622" t="s">
        <v>1992</v>
      </c>
      <c r="B120" s="621">
        <f>'Study Information &amp; rates'!B25</f>
        <v>0</v>
      </c>
      <c r="C120" s="621"/>
      <c r="E120" s="1040"/>
      <c r="F120" s="1041"/>
      <c r="G120" s="1041"/>
      <c r="H120" s="1041"/>
      <c r="I120" s="1041"/>
      <c r="J120" s="1041"/>
      <c r="K120" s="1041"/>
      <c r="L120" s="1042"/>
    </row>
    <row r="121" spans="1:12" s="401" customFormat="1" ht="15.5" hidden="1">
      <c r="A121" s="622" t="s">
        <v>1993</v>
      </c>
      <c r="B121" s="621">
        <f>'Study Information &amp; rates'!B24</f>
        <v>0</v>
      </c>
      <c r="C121" s="621"/>
      <c r="E121" s="1040"/>
      <c r="F121" s="1041"/>
      <c r="G121" s="1041"/>
      <c r="H121" s="1041"/>
      <c r="I121" s="1041"/>
      <c r="J121" s="1041"/>
      <c r="K121" s="1041"/>
      <c r="L121" s="1042"/>
    </row>
    <row r="122" spans="1:12" s="401" customFormat="1" ht="15.5" hidden="1">
      <c r="A122" s="622" t="s">
        <v>2076</v>
      </c>
      <c r="B122" s="621" t="str">
        <f>'Study Information &amp; rates'!B43</f>
        <v>No</v>
      </c>
      <c r="C122" s="621"/>
      <c r="E122" s="1040"/>
      <c r="F122" s="1041"/>
      <c r="G122" s="1041"/>
      <c r="H122" s="1041"/>
      <c r="I122" s="1041"/>
      <c r="J122" s="1041"/>
      <c r="K122" s="1041"/>
      <c r="L122" s="1042"/>
    </row>
    <row r="123" spans="1:12" s="401" customFormat="1" ht="15.5" hidden="1">
      <c r="A123" s="622" t="s">
        <v>82</v>
      </c>
      <c r="B123" s="621">
        <f>'Study Information &amp; rates'!B88</f>
        <v>0</v>
      </c>
      <c r="C123" s="621"/>
      <c r="E123" s="1040"/>
      <c r="F123" s="1041"/>
      <c r="G123" s="1041"/>
      <c r="H123" s="1041"/>
      <c r="I123" s="1041"/>
      <c r="J123" s="1041"/>
      <c r="K123" s="1041"/>
      <c r="L123" s="1042"/>
    </row>
    <row r="124" spans="1:12" s="401" customFormat="1" ht="15.5" hidden="1">
      <c r="A124" s="622" t="s">
        <v>2128</v>
      </c>
      <c r="B124" s="621">
        <f>'Study Information &amp; rates'!B89</f>
        <v>0</v>
      </c>
      <c r="C124" s="621"/>
      <c r="E124" s="1040"/>
      <c r="F124" s="1041"/>
      <c r="G124" s="1041"/>
      <c r="H124" s="1041"/>
      <c r="I124" s="1041"/>
      <c r="J124" s="1041"/>
      <c r="K124" s="1041"/>
      <c r="L124" s="1042"/>
    </row>
    <row r="125" spans="1:12" s="401" customFormat="1" ht="15.5" hidden="1">
      <c r="A125" s="622" t="s">
        <v>2129</v>
      </c>
      <c r="B125" s="621">
        <f>'Study Information &amp; rates'!B90</f>
        <v>0</v>
      </c>
      <c r="C125" s="621"/>
      <c r="E125" s="1040"/>
      <c r="F125" s="1041"/>
      <c r="G125" s="1041"/>
      <c r="H125" s="1041"/>
      <c r="I125" s="1041"/>
      <c r="J125" s="1041"/>
      <c r="K125" s="1041"/>
      <c r="L125" s="1042"/>
    </row>
    <row r="126" spans="1:12" s="401" customFormat="1" ht="15.5" hidden="1">
      <c r="A126" s="789" t="s">
        <v>2119</v>
      </c>
      <c r="B126" s="790" t="str">
        <f>'Study Information &amp; rates'!B42</f>
        <v>Exempt </v>
      </c>
      <c r="C126" s="790">
        <f>IF(B126="Standard Rate",I44*20%,0)</f>
        <v>0</v>
      </c>
      <c r="D126" s="791">
        <f>IF(B126="Reduced Rate",I44*5%,0)</f>
        <v>0</v>
      </c>
      <c r="E126" s="1040"/>
      <c r="F126" s="1041"/>
      <c r="G126" s="1041"/>
      <c r="H126" s="1041"/>
      <c r="I126" s="1041"/>
      <c r="J126" s="1041"/>
      <c r="K126" s="1041"/>
      <c r="L126" s="1042"/>
    </row>
    <row r="127" spans="1:12" s="401" customFormat="1" ht="15.5" hidden="1">
      <c r="A127" s="622" t="s">
        <v>1994</v>
      </c>
      <c r="B127" s="621"/>
      <c r="C127" s="621"/>
      <c r="E127" s="1043"/>
      <c r="F127" s="1044"/>
      <c r="G127" s="1044"/>
      <c r="H127" s="1044"/>
      <c r="I127" s="1044"/>
      <c r="J127" s="1044"/>
      <c r="K127" s="1044"/>
      <c r="L127" s="1045"/>
    </row>
    <row r="128" spans="1:3" s="401" customFormat="1" ht="15.5" hidden="1">
      <c r="A128" s="622" t="s">
        <v>1995</v>
      </c>
      <c r="B128" s="621"/>
      <c r="C128" s="621"/>
    </row>
    <row r="129" spans="1:1" s="401" customFormat="1" hidden="1">
      <c r="A129"/>
    </row>
    <row r="130" spans="1:12" s="401" customFormat="1" ht="15.5" hidden="1">
      <c r="A130" s="684" t="s">
        <v>1997</v>
      </c>
      <c r="B130" s="685">
        <f>'Study Information &amp; rates'!I100</f>
        <v>0</v>
      </c>
      <c r="C130" s="685"/>
      <c r="D130" s="685"/>
      <c r="E130" s="389"/>
      <c r="F130" s="389"/>
      <c r="G130" s="389"/>
      <c r="K130" s="649"/>
      <c r="L130" s="650"/>
    </row>
    <row r="131" spans="1:12" s="401" customFormat="1" ht="15.5" hidden="1">
      <c r="A131" s="622" t="s">
        <v>1998</v>
      </c>
      <c r="B131" s="621">
        <f>IFERROR(VLOOKUP(B130,Position,2,FALSE),0)</f>
        <v>0</v>
      </c>
      <c r="C131" s="621"/>
      <c r="D131" s="621"/>
      <c r="E131" s="389"/>
      <c r="F131" s="389"/>
      <c r="G131" s="389"/>
      <c r="K131" s="651"/>
      <c r="L131" s="652"/>
    </row>
    <row r="132" spans="1:7" s="401" customFormat="1" ht="15.5" hidden="1">
      <c r="A132" s="622" t="s">
        <v>1999</v>
      </c>
      <c r="B132" s="686">
        <f>'Study Information &amp; rates'!I52</f>
        <v>0</v>
      </c>
      <c r="C132" s="686"/>
      <c r="D132" s="686"/>
      <c r="E132" s="389"/>
      <c r="F132" s="389"/>
      <c r="G132" s="389"/>
    </row>
    <row r="133" spans="1:1" hidden="1">
      <c r="A133"/>
    </row>
  </sheetData>
  <sheetProtection algorithmName="SHA-512" hashValue="x5ggT4yRLSq0qUS9kehq0hw88FqMMPTO5mSkaufqSNk5FH7IJKxLcnjCTgXiCoxRb4szEi92QoLdKEQZB5szgA==" saltValue="ernNOuZ9XRIxp7tdhAX+2w==" spinCount="100000" sheet="1" objects="1" scenarios="1"/>
  <mergeCells count="4">
    <mergeCell ref="K16:L16"/>
    <mergeCell ref="E108:L127"/>
    <mergeCell ref="B2:C2"/>
    <mergeCell ref="D11:F11"/>
  </mergeCells>
  <conditionalFormatting sqref="D86">
    <cfRule type="cellIs" dxfId="63" operator="lessThan" priority="4">
      <formula>-550</formula>
    </cfRule>
    <cfRule type="cellIs" dxfId="64" operator="lessThan" priority="5">
      <formula>0</formula>
    </cfRule>
  </conditionalFormatting>
  <conditionalFormatting sqref="B13:C13">
    <cfRule type="cellIs" dxfId="65" operator="greaterThan" priority="3">
      <formula>-550</formula>
    </cfRule>
  </conditionalFormatting>
  <conditionalFormatting sqref="B46">
    <cfRule type="containsText" dxfId="66" operator="containsText" text="False" priority="1">
      <formula>NOT(ISERROR(SEARCH("False",B46)))</formula>
    </cfRule>
    <cfRule type="containsText" dxfId="67" operator="containsText" text="True" priority="2">
      <formula>NOT(ISERROR(SEARCH("True",B46)))</formula>
    </cfRule>
  </conditionalFormatting>
  <pageMargins left="0.70866141732283472" right="0.70866141732283472" top="0.74803149606299213" bottom="0.74803149606299213" header="0.31496062992125984" footer="0.31496062992125984"/>
  <pageSetup paperSize="9" scale="75" fitToHeight="2" orientation="landscape"/>
  <headerFooter scaleWithDoc="1" alignWithMargins="0" differentFirst="0" differentOddEven="0"/>
  <rowBreaks count="1" manualBreakCount="1">
    <brk id="14" max="16383" man="1"/>
  </rowBreaks>
  <legacyDrawing r:id="rId2"/>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X102"/>
  <sheetViews>
    <sheetView zoomScale="70" view="normal" workbookViewId="0">
      <selection pane="topLeft" activeCell="X11" sqref="X11"/>
    </sheetView>
  </sheetViews>
  <sheetFormatPr defaultColWidth="9.1796875" defaultRowHeight="12.5"/>
  <cols>
    <col min="1" max="1" width="22" style="373" customWidth="1"/>
    <col min="2" max="2" width="27.140625" style="373" customWidth="1"/>
    <col min="3" max="3" width="28" style="373" customWidth="1"/>
    <col min="4" max="4" width="14.41796875" style="373" customWidth="1"/>
    <col min="5" max="5" width="14.41796875" style="373" hidden="1" customWidth="1"/>
    <col min="6" max="6" width="15.5703125" style="373" bestFit="1" customWidth="1"/>
    <col min="7" max="7" width="14.41796875" style="373" customWidth="1"/>
    <col min="8" max="8" width="15.140625" style="373" customWidth="1"/>
    <col min="9" max="10" width="14.41796875" style="373" customWidth="1"/>
    <col min="11" max="15" width="14.41796875" style="373" hidden="1" customWidth="1"/>
    <col min="16" max="16" width="20.27734375" style="373" customWidth="1"/>
    <col min="17" max="17" width="9.140625" style="364" customWidth="1"/>
    <col min="18" max="21" width="13.84765625" style="364" customWidth="1"/>
    <col min="22" max="22" width="16" style="364" customWidth="1"/>
    <col min="23" max="16384" width="9.140625" style="364" customWidth="1"/>
  </cols>
  <sheetData>
    <row r="1" spans="1:22" ht="57" customHeight="1">
      <c r="A1" s="1018" t="s">
        <v>2311</v>
      </c>
      <c r="B1" s="1016" t="s">
        <v>2477</v>
      </c>
      <c r="D1" s="780"/>
      <c r="E1" s="405"/>
      <c r="G1" s="405"/>
      <c r="H1" s="405"/>
      <c r="I1" s="763"/>
      <c r="J1" s="764" t="s">
        <v>2275</v>
      </c>
      <c r="K1" s="406"/>
      <c r="L1" s="406"/>
      <c r="M1" s="406"/>
      <c r="N1" s="406"/>
      <c r="O1" s="406"/>
      <c r="P1" s="364"/>
      <c r="R1" s="992" t="s">
        <v>2458</v>
      </c>
      <c r="S1" s="992"/>
      <c r="T1" s="992"/>
      <c r="U1" s="992"/>
      <c r="V1" s="993"/>
    </row>
    <row r="2" spans="1:24" ht="43.5">
      <c r="A2" s="407" t="s">
        <v>2287</v>
      </c>
      <c r="B2" s="404" t="s">
        <v>2447</v>
      </c>
      <c r="C2" s="408" t="s">
        <v>1893</v>
      </c>
      <c r="D2" s="408" t="s">
        <v>2197</v>
      </c>
      <c r="E2" s="408" t="s">
        <v>2198</v>
      </c>
      <c r="F2" s="404" t="s">
        <v>2199</v>
      </c>
      <c r="G2" s="408" t="s">
        <v>2200</v>
      </c>
      <c r="H2" s="760" t="s">
        <v>2277</v>
      </c>
      <c r="I2" s="765" t="s">
        <v>1911</v>
      </c>
      <c r="J2" s="766" t="s">
        <v>2274</v>
      </c>
      <c r="K2" s="404" t="s">
        <v>2244</v>
      </c>
      <c r="L2" s="404" t="s">
        <v>2245</v>
      </c>
      <c r="M2" s="404" t="s">
        <v>2242</v>
      </c>
      <c r="N2" s="404" t="s">
        <v>2243</v>
      </c>
      <c r="O2" s="404" t="s">
        <v>1984</v>
      </c>
      <c r="P2" s="409" t="s">
        <v>2475</v>
      </c>
      <c r="Q2" s="410"/>
      <c r="R2" s="404" t="s">
        <v>2203</v>
      </c>
      <c r="S2" s="404" t="s">
        <v>2204</v>
      </c>
      <c r="T2" s="404" t="s">
        <v>2205</v>
      </c>
      <c r="U2" s="404" t="s">
        <v>2206</v>
      </c>
      <c r="V2" s="404" t="s">
        <v>50</v>
      </c>
      <c r="W2" s="1028" t="s">
        <v>2501</v>
      </c>
      <c r="X2" s="1029"/>
    </row>
    <row r="3" spans="1:22" s="417" customFormat="1" ht="13.5" customHeight="1">
      <c r="A3" s="603" t="s">
        <v>2207</v>
      </c>
      <c r="B3" s="604"/>
      <c r="C3" s="604"/>
      <c r="D3" s="606"/>
      <c r="E3" s="605"/>
      <c r="F3" s="607"/>
      <c r="G3" s="607"/>
      <c r="H3" s="761"/>
      <c r="I3" s="767">
        <f>IF('Study Information &amp; rates'!$B$43="Yes",33.7%*H3,0)</f>
        <v>0</v>
      </c>
      <c r="J3" s="768">
        <f>IF('Study Information &amp; rates'!$B$43="No",'Set-up and other costs'!$B$18*'UHS Individual cost'!H3,'Set-up and other costs'!$B$18*(I3)+H3)</f>
        <v>0</v>
      </c>
      <c r="K3" s="608">
        <f>IF(P3="Research Cost A",H3,0)</f>
        <v>0</v>
      </c>
      <c r="L3" s="608">
        <f>IF(P3="Research Cost B",H3,0)</f>
        <v>0</v>
      </c>
      <c r="M3" s="608">
        <f>IF(P3="Service Support Cost",H3,0)</f>
        <v>0</v>
      </c>
      <c r="N3" s="608">
        <f>IF(P3="Treatment Cost",H3,0)</f>
        <v>0</v>
      </c>
      <c r="O3" s="608">
        <f>IF(P3="Excess Treatment Cost",H3,0)</f>
        <v>0</v>
      </c>
      <c r="P3" s="411" t="s">
        <v>2012</v>
      </c>
      <c r="Q3" s="610"/>
      <c r="R3" s="611"/>
      <c r="S3" s="611"/>
      <c r="T3" s="611"/>
      <c r="U3" s="612"/>
      <c r="V3" s="613">
        <f>SUM(R3:U3)</f>
        <v>0</v>
      </c>
    </row>
    <row r="4" spans="1:22" s="417" customFormat="1" ht="13.5" customHeight="1">
      <c r="A4" s="603" t="s">
        <v>2254</v>
      </c>
      <c r="B4" s="614"/>
      <c r="C4" s="614"/>
      <c r="D4" s="615"/>
      <c r="E4" s="616"/>
      <c r="F4" s="617"/>
      <c r="G4" s="617"/>
      <c r="H4" s="761"/>
      <c r="I4" s="767">
        <f>IF('Study Information &amp; rates'!$B$43="Yes",33.7%*H4,0)</f>
        <v>0</v>
      </c>
      <c r="J4" s="768">
        <f>IF('Study Information &amp; rates'!$B$43="No",'Set-up and other costs'!$B$18*'UHS Individual cost'!H4,'Set-up and other costs'!$B$18*(I4)+H4)</f>
        <v>0</v>
      </c>
      <c r="K4" s="608">
        <f>IF(P4="Research Cost A",H4,0)</f>
        <v>0</v>
      </c>
      <c r="L4" s="608">
        <f>IF(P4="Research Cost B",H4,0)</f>
        <v>0</v>
      </c>
      <c r="M4" s="608">
        <f>IF(P4="Service Support Cost",H4,0)</f>
        <v>0</v>
      </c>
      <c r="N4" s="608">
        <f>IF(P4="Treatment Cost",H4,0)</f>
        <v>0</v>
      </c>
      <c r="O4" s="608">
        <f>IF(P4="Excess Treatment Cost",H4,0)</f>
        <v>0</v>
      </c>
      <c r="P4" s="411" t="s">
        <v>2012</v>
      </c>
      <c r="Q4" s="610"/>
      <c r="R4" s="609"/>
      <c r="S4" s="609"/>
      <c r="T4" s="609"/>
      <c r="U4" s="609"/>
      <c r="V4" s="613">
        <f>SUM(R4:U4)</f>
        <v>0</v>
      </c>
    </row>
    <row r="5" spans="1:22" s="417" customFormat="1" ht="13.5" customHeight="1">
      <c r="A5" s="603" t="s">
        <v>2255</v>
      </c>
      <c r="B5" s="618"/>
      <c r="C5" s="618"/>
      <c r="D5" s="615"/>
      <c r="E5" s="616"/>
      <c r="F5" s="617"/>
      <c r="G5" s="617"/>
      <c r="H5" s="761"/>
      <c r="I5" s="767">
        <f>IF('Study Information &amp; rates'!$B$43="Yes",33.7%*H5,0)</f>
        <v>0</v>
      </c>
      <c r="J5" s="768">
        <f>IF('Study Information &amp; rates'!$B$43="No",'Set-up and other costs'!$B$18*'UHS Individual cost'!H5,'Set-up and other costs'!$B$18*(I5)+H5)</f>
        <v>0</v>
      </c>
      <c r="K5" s="608">
        <f>IF(P5="Research Cost A",H5,0)</f>
        <v>0</v>
      </c>
      <c r="L5" s="608">
        <f>IF(P5="Research Cost B",H5,0)</f>
        <v>0</v>
      </c>
      <c r="M5" s="608">
        <f>IF(P5="Service Support Cost",H5,0)</f>
        <v>0</v>
      </c>
      <c r="N5" s="608">
        <f>IF(P5="Treatment Cost",H5,0)</f>
        <v>0</v>
      </c>
      <c r="O5" s="608">
        <f>IF(P5="Excess Treatment Cost",H5,0)</f>
        <v>0</v>
      </c>
      <c r="P5" s="411"/>
      <c r="Q5" s="610"/>
      <c r="R5" s="609"/>
      <c r="S5" s="609"/>
      <c r="T5" s="609"/>
      <c r="U5" s="609"/>
      <c r="V5" s="613">
        <f>SUM(R5:U5)</f>
        <v>0</v>
      </c>
    </row>
    <row r="6" spans="1:22" s="417" customFormat="1" ht="13.5" customHeight="1">
      <c r="A6" s="603"/>
      <c r="B6" s="618"/>
      <c r="C6" s="618"/>
      <c r="D6" s="615"/>
      <c r="E6" s="616"/>
      <c r="F6" s="617"/>
      <c r="G6" s="617"/>
      <c r="H6" s="761"/>
      <c r="I6" s="767">
        <f>IF('Study Information &amp; rates'!$B$43="Yes",33.7%*H6,0)</f>
        <v>0</v>
      </c>
      <c r="J6" s="768">
        <f>IF('Study Information &amp; rates'!$B$43="No",'Set-up and other costs'!$B$18*'UHS Individual cost'!H6,'Set-up and other costs'!$B$18*(I6)+H6)</f>
        <v>0</v>
      </c>
      <c r="K6" s="608">
        <f>IF(P6="Research Cost A",H6,0)</f>
        <v>0</v>
      </c>
      <c r="L6" s="608">
        <f>IF(P6="Research Cost B",H6,0)</f>
        <v>0</v>
      </c>
      <c r="M6" s="608">
        <f>IF(P6="Service Support Cost",H6,0)</f>
        <v>0</v>
      </c>
      <c r="N6" s="608">
        <f>IF(P6="Treatment Cost",H6,0)</f>
        <v>0</v>
      </c>
      <c r="O6" s="608">
        <f>IF(P6="Excess Treatment Cost",H6,0)</f>
        <v>0</v>
      </c>
      <c r="P6" s="411"/>
      <c r="Q6" s="610"/>
      <c r="R6" s="609"/>
      <c r="S6" s="609"/>
      <c r="T6" s="609"/>
      <c r="U6" s="609"/>
      <c r="V6" s="613">
        <f>SUM(R6:U6)</f>
        <v>0</v>
      </c>
    </row>
    <row r="7" spans="1:22" s="417" customFormat="1" ht="13.5" customHeight="1">
      <c r="A7" s="603"/>
      <c r="B7" s="618"/>
      <c r="C7" s="618"/>
      <c r="D7" s="615"/>
      <c r="E7" s="616"/>
      <c r="F7" s="617"/>
      <c r="G7" s="617"/>
      <c r="H7" s="761"/>
      <c r="I7" s="767">
        <f>IF('Study Information &amp; rates'!$B$43="Yes",33.7%*H7,0)</f>
        <v>0</v>
      </c>
      <c r="J7" s="768">
        <f>IF('Study Information &amp; rates'!$B$43="No",'Set-up and other costs'!$B$18*'UHS Individual cost'!H7,'Set-up and other costs'!$B$18*(I7)+H7)</f>
        <v>0</v>
      </c>
      <c r="K7" s="608">
        <f>IF(P7="Research Cost A",H7,0)</f>
        <v>0</v>
      </c>
      <c r="L7" s="608">
        <f>IF(P7="Research Cost B",H7,0)</f>
        <v>0</v>
      </c>
      <c r="M7" s="608">
        <f>IF(P7="Service Support Cost",H7,0)</f>
        <v>0</v>
      </c>
      <c r="N7" s="608">
        <f>IF(P7="Treatment Cost",H7,0)</f>
        <v>0</v>
      </c>
      <c r="O7" s="608">
        <f>IF(P7="Excess Treatment Cost",H7,0)</f>
        <v>0</v>
      </c>
      <c r="P7" s="411"/>
      <c r="Q7" s="619"/>
      <c r="R7" s="620"/>
      <c r="S7" s="609"/>
      <c r="T7" s="609"/>
      <c r="U7" s="609"/>
      <c r="V7" s="613">
        <f>SUM(R7:U7)</f>
        <v>0</v>
      </c>
    </row>
    <row r="8" spans="1:22" s="417" customFormat="1" ht="13.5" customHeight="1">
      <c r="A8" s="603" t="s">
        <v>2267</v>
      </c>
      <c r="B8" s="618"/>
      <c r="C8" s="618"/>
      <c r="D8" s="615"/>
      <c r="E8" s="616"/>
      <c r="F8" s="617"/>
      <c r="G8" s="617"/>
      <c r="H8" s="761"/>
      <c r="I8" s="767">
        <f>IF('Study Information &amp; rates'!$B$43="Yes",33.7%*H8,0)</f>
        <v>0</v>
      </c>
      <c r="J8" s="768">
        <f>IF('Study Information &amp; rates'!$B$43="No",'Set-up and other costs'!$B$18*'UHS Individual cost'!H8,'Set-up and other costs'!$B$18*(I8)+H8)</f>
        <v>0</v>
      </c>
      <c r="K8" s="608">
        <f>IF(P8="Research Cost A",H8,0)</f>
        <v>0</v>
      </c>
      <c r="L8" s="608">
        <f>IF(P8="Research Cost B",H8,0)</f>
        <v>0</v>
      </c>
      <c r="M8" s="608">
        <f>IF(P8="Service Support Cost",H8,0)</f>
        <v>0</v>
      </c>
      <c r="N8" s="608">
        <f>IF(P8="Treatment Cost",H8,0)</f>
        <v>0</v>
      </c>
      <c r="O8" s="608">
        <f>IF(P8="Excess Treatment Cost",H8,0)</f>
        <v>0</v>
      </c>
      <c r="P8" s="411"/>
      <c r="Q8" s="619"/>
      <c r="R8" s="620"/>
      <c r="S8" s="609"/>
      <c r="T8" s="609"/>
      <c r="U8" s="609"/>
      <c r="V8" s="613">
        <f>SUM(R8:U8)</f>
        <v>0</v>
      </c>
    </row>
    <row r="9" spans="1:22" s="417" customFormat="1" ht="13.5" customHeight="1">
      <c r="A9" s="603"/>
      <c r="B9" s="618"/>
      <c r="C9" s="618"/>
      <c r="D9" s="615"/>
      <c r="E9" s="616"/>
      <c r="F9" s="617"/>
      <c r="G9" s="617"/>
      <c r="H9" s="761"/>
      <c r="I9" s="767">
        <f>IF('Study Information &amp; rates'!$B$43="Yes",33.7%*H9,0)</f>
        <v>0</v>
      </c>
      <c r="J9" s="768">
        <f>IF('Study Information &amp; rates'!$B$43="No",'Set-up and other costs'!$B$18*'UHS Individual cost'!H9,'Set-up and other costs'!$B$18*(I9)+H9)</f>
        <v>0</v>
      </c>
      <c r="K9" s="608">
        <f>IF(P9="Research Cost A",H9,0)</f>
        <v>0</v>
      </c>
      <c r="L9" s="608">
        <f>IF(P9="Research Cost B",H9,0)</f>
        <v>0</v>
      </c>
      <c r="M9" s="608">
        <f>IF(P9="Service Support Cost",H9,0)</f>
        <v>0</v>
      </c>
      <c r="N9" s="608">
        <f>IF(P9="Treatment Cost",H9,0)</f>
        <v>0</v>
      </c>
      <c r="O9" s="608">
        <f>IF(P9="Excess Treatment Cost",H9,0)</f>
        <v>0</v>
      </c>
      <c r="P9" s="411"/>
      <c r="Q9" s="619"/>
      <c r="R9" s="620"/>
      <c r="S9" s="613"/>
      <c r="T9" s="613"/>
      <c r="U9" s="613"/>
      <c r="V9" s="613">
        <f>SUM(R9:U9)</f>
        <v>0</v>
      </c>
    </row>
    <row r="10" spans="1:22" s="417" customFormat="1" ht="14.5">
      <c r="A10" s="567"/>
      <c r="B10" s="567"/>
      <c r="C10" s="567"/>
      <c r="D10" s="567"/>
      <c r="E10" s="567"/>
      <c r="F10" s="567"/>
      <c r="G10" s="567"/>
      <c r="H10" s="414"/>
      <c r="I10" s="769"/>
      <c r="J10" s="770"/>
      <c r="K10" s="402"/>
      <c r="L10" s="402"/>
      <c r="M10" s="402"/>
      <c r="N10" s="402"/>
      <c r="O10" s="402"/>
      <c r="P10" s="414"/>
      <c r="Q10" s="402"/>
      <c r="R10" s="402"/>
      <c r="S10" s="415"/>
      <c r="T10" s="415"/>
      <c r="U10" s="415"/>
      <c r="V10" s="415"/>
    </row>
    <row r="11" spans="1:22" s="417" customFormat="1" ht="60" customHeight="1">
      <c r="A11" s="568" t="s">
        <v>2276</v>
      </c>
      <c r="B11" s="1017" t="s">
        <v>2476</v>
      </c>
      <c r="D11" s="567"/>
      <c r="E11" s="567"/>
      <c r="F11" s="567"/>
      <c r="G11" s="567"/>
      <c r="H11" s="414"/>
      <c r="I11" s="769"/>
      <c r="J11" s="770"/>
      <c r="K11" s="402"/>
      <c r="L11" s="402"/>
      <c r="M11" s="402"/>
      <c r="N11" s="402"/>
      <c r="O11" s="402"/>
      <c r="P11" s="414"/>
      <c r="Q11" s="402"/>
      <c r="R11" s="402"/>
      <c r="S11" s="415"/>
      <c r="T11" s="415"/>
      <c r="U11" s="415"/>
      <c r="V11" s="415"/>
    </row>
    <row r="12" spans="1:22" s="417" customFormat="1" ht="43.5">
      <c r="A12" s="569" t="s">
        <v>2208</v>
      </c>
      <c r="B12" s="391" t="s">
        <v>2447</v>
      </c>
      <c r="C12" s="392" t="s">
        <v>1893</v>
      </c>
      <c r="D12" s="394" t="s">
        <v>2209</v>
      </c>
      <c r="E12" s="476" t="s">
        <v>2198</v>
      </c>
      <c r="F12" s="391" t="s">
        <v>2199</v>
      </c>
      <c r="G12" s="393" t="s">
        <v>2200</v>
      </c>
      <c r="H12" s="760" t="s">
        <v>2277</v>
      </c>
      <c r="I12" s="765" t="s">
        <v>1911</v>
      </c>
      <c r="J12" s="771" t="s">
        <v>2201</v>
      </c>
      <c r="K12" s="391" t="s">
        <v>2202</v>
      </c>
      <c r="L12" s="403"/>
      <c r="M12" s="403"/>
      <c r="N12" s="403"/>
      <c r="O12" s="403"/>
      <c r="P12" s="409" t="s">
        <v>2475</v>
      </c>
      <c r="Q12" s="412"/>
      <c r="R12" s="404" t="s">
        <v>2203</v>
      </c>
      <c r="S12" s="404" t="s">
        <v>2204</v>
      </c>
      <c r="T12" s="404" t="s">
        <v>2205</v>
      </c>
      <c r="U12" s="404" t="s">
        <v>2206</v>
      </c>
      <c r="V12" s="404" t="s">
        <v>50</v>
      </c>
    </row>
    <row r="13" spans="1:22" s="417" customFormat="1" ht="15" customHeight="1">
      <c r="A13" s="570" t="s">
        <v>2271</v>
      </c>
      <c r="B13" s="562"/>
      <c r="C13" s="562"/>
      <c r="D13" s="396"/>
      <c r="E13" s="565"/>
      <c r="F13" s="566"/>
      <c r="G13" s="566"/>
      <c r="H13" s="761"/>
      <c r="I13" s="767">
        <f>IF('Study Information &amp; rates'!$B$43="Yes",33.7%*H13,0)</f>
        <v>0</v>
      </c>
      <c r="J13" s="768">
        <f>IF('Study Information &amp; rates'!$B$43="No",'Set-up and other costs'!$B$18*'UHS Individual cost'!H13,'Set-up and other costs'!$B$18*(I13)+H13)</f>
        <v>0</v>
      </c>
      <c r="K13" s="608">
        <f>IF(P13="Research Cost A",H13,0)</f>
        <v>0</v>
      </c>
      <c r="L13" s="608">
        <f>IF(P13="Research Cost B",H13,0)</f>
        <v>0</v>
      </c>
      <c r="M13" s="608">
        <f>IF(P13="Service Support Cost",H13,0)</f>
        <v>0</v>
      </c>
      <c r="N13" s="608">
        <f>IF(P13="Treatment Cost",H13,0)</f>
        <v>0</v>
      </c>
      <c r="O13" s="608">
        <f>IF(P13="Excess Treatment Cost",H13,0)</f>
        <v>0</v>
      </c>
      <c r="P13" s="411"/>
      <c r="Q13" s="412"/>
      <c r="R13" s="411"/>
      <c r="S13" s="413"/>
      <c r="T13" s="413"/>
      <c r="U13" s="413"/>
      <c r="V13" s="413">
        <f>SUM(R13:U13)</f>
        <v>0</v>
      </c>
    </row>
    <row r="14" spans="1:22" s="417" customFormat="1" ht="15" customHeight="1">
      <c r="A14" s="571" t="s">
        <v>2211</v>
      </c>
      <c r="B14" s="562"/>
      <c r="C14" s="562"/>
      <c r="D14" s="397"/>
      <c r="E14" s="565"/>
      <c r="F14" s="566"/>
      <c r="G14" s="566"/>
      <c r="H14" s="761"/>
      <c r="I14" s="767">
        <f>IF('Study Information &amp; rates'!$B$43="Yes",33.7%*H14,0)</f>
        <v>0</v>
      </c>
      <c r="J14" s="768">
        <f>IF('Study Information &amp; rates'!$B$43="No",'Set-up and other costs'!$B$18*'UHS Individual cost'!H14,'Set-up and other costs'!$B$18*(I14)+H14)</f>
        <v>0</v>
      </c>
      <c r="K14" s="608">
        <f>IF(P14="Research Cost A",H14,0)</f>
        <v>0</v>
      </c>
      <c r="L14" s="608">
        <f>IF(P14="Research Cost B",H14,0)</f>
        <v>0</v>
      </c>
      <c r="M14" s="608">
        <f>IF(P14="Service Support Cost",H14,0)</f>
        <v>0</v>
      </c>
      <c r="N14" s="608">
        <f>IF(P14="Treatment Cost",H14,0)</f>
        <v>0</v>
      </c>
      <c r="O14" s="608">
        <f>IF(P14="Excess Treatment Cost",H14,0)</f>
        <v>0</v>
      </c>
      <c r="P14" s="411"/>
      <c r="Q14" s="412"/>
      <c r="R14" s="411"/>
      <c r="S14" s="413"/>
      <c r="T14" s="413"/>
      <c r="U14" s="413"/>
      <c r="V14" s="413">
        <f>SUM(R14:U14)</f>
        <v>0</v>
      </c>
    </row>
    <row r="15" spans="1:22" s="417" customFormat="1" ht="15" customHeight="1">
      <c r="A15" s="570" t="s">
        <v>2212</v>
      </c>
      <c r="B15" s="563"/>
      <c r="C15" s="562"/>
      <c r="D15" s="396"/>
      <c r="E15" s="565"/>
      <c r="F15" s="566"/>
      <c r="G15" s="566"/>
      <c r="H15" s="761"/>
      <c r="I15" s="767">
        <f>IF('Study Information &amp; rates'!$B$43="Yes",33.7%*H15,0)</f>
        <v>0</v>
      </c>
      <c r="J15" s="768">
        <f>IF('Study Information &amp; rates'!$B$43="No",'Set-up and other costs'!$B$18*'UHS Individual cost'!H15,'Set-up and other costs'!$B$18*(I15)+H15)</f>
        <v>0</v>
      </c>
      <c r="K15" s="608">
        <f>IF(P15="Research Cost A",H15,0)</f>
        <v>0</v>
      </c>
      <c r="L15" s="608">
        <f>IF(P15="Research Cost B",H15,0)</f>
        <v>0</v>
      </c>
      <c r="M15" s="608">
        <f>IF(P15="Service Support Cost",H15,0)</f>
        <v>0</v>
      </c>
      <c r="N15" s="608">
        <f>IF(P15="Treatment Cost",H15,0)</f>
        <v>0</v>
      </c>
      <c r="O15" s="608">
        <f>IF(P15="Excess Treatment Cost",H15,0)</f>
        <v>0</v>
      </c>
      <c r="P15" s="411"/>
      <c r="Q15" s="412"/>
      <c r="R15" s="411"/>
      <c r="S15" s="413"/>
      <c r="T15" s="413"/>
      <c r="U15" s="413"/>
      <c r="V15" s="413">
        <f>SUM(R15:U15)</f>
        <v>0</v>
      </c>
    </row>
    <row r="16" spans="1:22" s="417" customFormat="1" ht="15" customHeight="1">
      <c r="A16" s="570" t="s">
        <v>2213</v>
      </c>
      <c r="B16" s="563"/>
      <c r="C16" s="562"/>
      <c r="D16" s="396"/>
      <c r="E16" s="565"/>
      <c r="F16" s="566"/>
      <c r="G16" s="566"/>
      <c r="H16" s="761"/>
      <c r="I16" s="767">
        <f>IF('Study Information &amp; rates'!$B$43="Yes",33.7%*H16,0)</f>
        <v>0</v>
      </c>
      <c r="J16" s="768">
        <f>IF('Study Information &amp; rates'!$B$43="No",'Set-up and other costs'!$B$18*'UHS Individual cost'!H16,'Set-up and other costs'!$B$18*(I16)+H16)</f>
        <v>0</v>
      </c>
      <c r="K16" s="608">
        <f>IF(P16="Research Cost A",H16,0)</f>
        <v>0</v>
      </c>
      <c r="L16" s="608">
        <f>IF(P16="Research Cost B",H16,0)</f>
        <v>0</v>
      </c>
      <c r="M16" s="608">
        <f>IF(P16="Service Support Cost",H16,0)</f>
        <v>0</v>
      </c>
      <c r="N16" s="608">
        <f>IF(P16="Treatment Cost",H16,0)</f>
        <v>0</v>
      </c>
      <c r="O16" s="608">
        <f>IF(P16="Excess Treatment Cost",H16,0)</f>
        <v>0</v>
      </c>
      <c r="P16" s="411"/>
      <c r="Q16" s="412"/>
      <c r="R16" s="411"/>
      <c r="S16" s="413"/>
      <c r="T16" s="413"/>
      <c r="U16" s="413"/>
      <c r="V16" s="413">
        <f>SUM(R16:U16)</f>
        <v>0</v>
      </c>
    </row>
    <row r="17" spans="1:22" s="417" customFormat="1" ht="15" customHeight="1">
      <c r="A17" s="570" t="s">
        <v>2214</v>
      </c>
      <c r="B17" s="563"/>
      <c r="C17" s="562"/>
      <c r="D17" s="396"/>
      <c r="E17" s="565"/>
      <c r="F17" s="566"/>
      <c r="G17" s="566"/>
      <c r="H17" s="761"/>
      <c r="I17" s="767">
        <f>IF('Study Information &amp; rates'!$B$43="Yes",33.7%*H17,0)</f>
        <v>0</v>
      </c>
      <c r="J17" s="768">
        <f>IF('Study Information &amp; rates'!$B$43="No",'Set-up and other costs'!$B$18*'UHS Individual cost'!H17,'Set-up and other costs'!$B$18*(I17)+H17)</f>
        <v>0</v>
      </c>
      <c r="K17" s="608">
        <f>IF(P17="Research Cost A",H17,0)</f>
        <v>0</v>
      </c>
      <c r="L17" s="608">
        <f>IF(P17="Research Cost B",H17,0)</f>
        <v>0</v>
      </c>
      <c r="M17" s="608">
        <f>IF(P17="Service Support Cost",H17,0)</f>
        <v>0</v>
      </c>
      <c r="N17" s="608">
        <f>IF(P17="Treatment Cost",H17,0)</f>
        <v>0</v>
      </c>
      <c r="O17" s="608">
        <f>IF(P17="Excess Treatment Cost",H17,0)</f>
        <v>0</v>
      </c>
      <c r="P17" s="411"/>
      <c r="Q17" s="412"/>
      <c r="R17" s="411"/>
      <c r="S17" s="413"/>
      <c r="T17" s="413"/>
      <c r="U17" s="413"/>
      <c r="V17" s="413">
        <f>SUM(R17:U17)</f>
        <v>0</v>
      </c>
    </row>
    <row r="18" spans="1:22" s="417" customFormat="1" ht="15" customHeight="1">
      <c r="A18" s="570" t="s">
        <v>1933</v>
      </c>
      <c r="B18" s="564"/>
      <c r="C18" s="562"/>
      <c r="D18" s="396"/>
      <c r="E18" s="565"/>
      <c r="F18" s="572"/>
      <c r="G18" s="572"/>
      <c r="H18" s="761"/>
      <c r="I18" s="767">
        <f>IF('Study Information &amp; rates'!$B$43="Yes",33.7%*H18,0)</f>
        <v>0</v>
      </c>
      <c r="J18" s="768">
        <f>IF('Study Information &amp; rates'!$B$43="No",'Set-up and other costs'!$B$18*'UHS Individual cost'!H18,'Set-up and other costs'!$B$18*(I18)+H18)</f>
        <v>0</v>
      </c>
      <c r="K18" s="608">
        <f>IF(P18="Research Cost A",H18,0)</f>
        <v>0</v>
      </c>
      <c r="L18" s="608">
        <f>IF(P18="Research Cost B",H18,0)</f>
        <v>0</v>
      </c>
      <c r="M18" s="608">
        <f>IF(P18="Service Support Cost",H18,0)</f>
        <v>0</v>
      </c>
      <c r="N18" s="608">
        <f>IF(P18="Treatment Cost",H18,0)</f>
        <v>0</v>
      </c>
      <c r="O18" s="608">
        <f>IF(P18="Excess Treatment Cost",H18,0)</f>
        <v>0</v>
      </c>
      <c r="P18" s="411"/>
      <c r="Q18" s="412"/>
      <c r="R18" s="411"/>
      <c r="S18" s="413"/>
      <c r="T18" s="413"/>
      <c r="U18" s="413"/>
      <c r="V18" s="413">
        <f>SUM(R18:U18)</f>
        <v>0</v>
      </c>
    </row>
    <row r="19" spans="1:22" s="417" customFormat="1" ht="14.5">
      <c r="A19" s="573"/>
      <c r="B19" s="574"/>
      <c r="C19" s="574"/>
      <c r="D19" s="575"/>
      <c r="E19" s="575"/>
      <c r="F19" s="575"/>
      <c r="G19" s="576"/>
      <c r="H19" s="395"/>
      <c r="I19" s="772"/>
      <c r="J19" s="773"/>
      <c r="K19" s="395"/>
      <c r="L19" s="395"/>
      <c r="M19" s="395"/>
      <c r="N19" s="395"/>
      <c r="O19" s="395"/>
      <c r="P19" s="398"/>
      <c r="Q19" s="402"/>
      <c r="R19" s="398"/>
      <c r="S19" s="416"/>
      <c r="T19" s="416"/>
      <c r="U19" s="416"/>
      <c r="V19" s="416"/>
    </row>
    <row r="20" spans="1:22" s="417" customFormat="1" ht="43.5">
      <c r="A20" s="577" t="s">
        <v>2256</v>
      </c>
      <c r="B20" s="577"/>
      <c r="C20" s="577"/>
      <c r="D20" s="577"/>
      <c r="E20" s="577"/>
      <c r="F20" s="577"/>
      <c r="G20" s="577"/>
      <c r="H20" s="473"/>
      <c r="I20" s="774"/>
      <c r="J20" s="774"/>
      <c r="K20" s="473"/>
      <c r="L20" s="473"/>
      <c r="M20" s="473"/>
      <c r="N20" s="473"/>
      <c r="O20" s="473"/>
      <c r="P20" s="398"/>
      <c r="Q20" s="402"/>
      <c r="R20" s="398"/>
      <c r="S20" s="416"/>
      <c r="T20" s="416"/>
      <c r="U20" s="416"/>
      <c r="V20" s="416"/>
    </row>
    <row r="21" spans="1:22" s="417" customFormat="1" ht="43.5">
      <c r="A21" s="394" t="s">
        <v>2224</v>
      </c>
      <c r="B21" s="404" t="s">
        <v>2447</v>
      </c>
      <c r="C21" s="391" t="s">
        <v>1893</v>
      </c>
      <c r="D21" s="394" t="s">
        <v>2225</v>
      </c>
      <c r="E21" s="476" t="s">
        <v>2198</v>
      </c>
      <c r="F21" s="391" t="s">
        <v>2199</v>
      </c>
      <c r="G21" s="688" t="s">
        <v>2200</v>
      </c>
      <c r="H21" s="760" t="s">
        <v>2277</v>
      </c>
      <c r="I21" s="765" t="s">
        <v>1911</v>
      </c>
      <c r="J21" s="771" t="s">
        <v>2201</v>
      </c>
      <c r="K21" s="391" t="s">
        <v>2202</v>
      </c>
      <c r="L21" s="403"/>
      <c r="M21" s="403"/>
      <c r="N21" s="403"/>
      <c r="O21" s="403"/>
      <c r="P21" s="409" t="s">
        <v>2475</v>
      </c>
      <c r="R21" s="404" t="s">
        <v>2203</v>
      </c>
      <c r="S21" s="404" t="s">
        <v>2204</v>
      </c>
      <c r="T21" s="404" t="s">
        <v>2205</v>
      </c>
      <c r="U21" s="404" t="s">
        <v>2206</v>
      </c>
      <c r="V21" s="404" t="s">
        <v>50</v>
      </c>
    </row>
    <row r="22" spans="1:22" s="417" customFormat="1" ht="14.25" customHeight="1">
      <c r="A22" s="570" t="s">
        <v>2226</v>
      </c>
      <c r="B22" s="578"/>
      <c r="C22" s="578"/>
      <c r="D22" s="396"/>
      <c r="E22" s="565"/>
      <c r="F22" s="554"/>
      <c r="G22" s="591"/>
      <c r="H22" s="761"/>
      <c r="I22" s="767">
        <f>IF('Study Information &amp; rates'!$B$43="Yes",33.7%*H22,0)</f>
        <v>0</v>
      </c>
      <c r="J22" s="768">
        <f>IF('Study Information &amp; rates'!$B$43="No",'Set-up and other costs'!$B$18*'UHS Individual cost'!H22,'Set-up and other costs'!$B$18*(I22)+H22)</f>
        <v>0</v>
      </c>
      <c r="K22" s="608">
        <f>IF(P22="Research Cost A",H22,0)</f>
        <v>0</v>
      </c>
      <c r="L22" s="608">
        <f>IF(P22="Research Cost B",H22,0)</f>
        <v>0</v>
      </c>
      <c r="M22" s="608">
        <f>IF(P22="Service Support Cost",H22,0)</f>
        <v>0</v>
      </c>
      <c r="N22" s="608">
        <f>IF(P22="Treatment Cost",H22,0)</f>
        <v>0</v>
      </c>
      <c r="O22" s="608">
        <f>IF(P22="Excess Treatment Cost",H22,0)</f>
        <v>0</v>
      </c>
      <c r="P22" s="411"/>
      <c r="R22" s="411"/>
      <c r="S22" s="413"/>
      <c r="T22" s="413"/>
      <c r="U22" s="413"/>
      <c r="V22" s="413">
        <f>SUM(R22:U22)</f>
        <v>0</v>
      </c>
    </row>
    <row r="23" spans="1:22" s="417" customFormat="1" ht="14.25" customHeight="1">
      <c r="A23" s="570" t="s">
        <v>2227</v>
      </c>
      <c r="B23" s="578"/>
      <c r="C23" s="578"/>
      <c r="D23" s="396"/>
      <c r="E23" s="565"/>
      <c r="F23" s="554"/>
      <c r="G23" s="591"/>
      <c r="H23" s="761"/>
      <c r="I23" s="767">
        <f>IF('Study Information &amp; rates'!$B$43="Yes",33.7%*H23,0)</f>
        <v>0</v>
      </c>
      <c r="J23" s="768">
        <f>IF('Study Information &amp; rates'!$B$43="No",'Set-up and other costs'!$B$18*'UHS Individual cost'!H23,'Set-up and other costs'!$B$18*(I23)+H23)</f>
        <v>0</v>
      </c>
      <c r="K23" s="608">
        <f>IF(P23="Research Cost A",H23,0)</f>
        <v>0</v>
      </c>
      <c r="L23" s="608">
        <f>IF(P23="Research Cost B",H23,0)</f>
        <v>0</v>
      </c>
      <c r="M23" s="608">
        <f>IF(P23="Service Support Cost",H23,0)</f>
        <v>0</v>
      </c>
      <c r="N23" s="608">
        <f>IF(P23="Treatment Cost",H23,0)</f>
        <v>0</v>
      </c>
      <c r="O23" s="608">
        <f>IF(P23="Excess Treatment Cost",H23,0)</f>
        <v>0</v>
      </c>
      <c r="P23" s="411"/>
      <c r="R23" s="413"/>
      <c r="S23" s="413"/>
      <c r="T23" s="413"/>
      <c r="U23" s="413"/>
      <c r="V23" s="413">
        <f>SUM(R23:U23)</f>
        <v>0</v>
      </c>
    </row>
    <row r="24" spans="1:22" s="417" customFormat="1" ht="14.25" customHeight="1">
      <c r="A24" s="570" t="s">
        <v>2455</v>
      </c>
      <c r="B24" s="578"/>
      <c r="C24" s="578"/>
      <c r="D24" s="396"/>
      <c r="E24" s="565"/>
      <c r="F24" s="554"/>
      <c r="G24" s="591"/>
      <c r="H24" s="761"/>
      <c r="I24" s="767">
        <f>IF('Study Information &amp; rates'!$B$43="Yes",33.7%*H24,0)</f>
        <v>0</v>
      </c>
      <c r="J24" s="768">
        <f>IF('Study Information &amp; rates'!$B$43="No",'Set-up and other costs'!$B$18*'UHS Individual cost'!H24,'Set-up and other costs'!$B$18*(I24)+H24)</f>
        <v>0</v>
      </c>
      <c r="K24" s="608">
        <f>IF(P24="Research Cost A",H24,0)</f>
        <v>0</v>
      </c>
      <c r="L24" s="608">
        <f>IF(P24="Research Cost B",H24,0)</f>
        <v>0</v>
      </c>
      <c r="M24" s="608">
        <f>IF(P24="Service Support Cost",H24,0)</f>
        <v>0</v>
      </c>
      <c r="N24" s="608">
        <f>IF(P24="Treatment Cost",H24,0)</f>
        <v>0</v>
      </c>
      <c r="O24" s="608">
        <f>IF(P24="Excess Treatment Cost",H24,0)</f>
        <v>0</v>
      </c>
      <c r="P24" s="411"/>
      <c r="R24" s="413"/>
      <c r="S24" s="413"/>
      <c r="T24" s="413"/>
      <c r="U24" s="413"/>
      <c r="V24" s="413">
        <f>SUM(R24:U24)</f>
        <v>0</v>
      </c>
    </row>
    <row r="25" spans="1:22" s="417" customFormat="1" ht="14.25" customHeight="1">
      <c r="A25" s="570" t="s">
        <v>2228</v>
      </c>
      <c r="B25" s="578"/>
      <c r="C25" s="578"/>
      <c r="D25" s="396"/>
      <c r="E25" s="565"/>
      <c r="F25" s="554"/>
      <c r="G25" s="591"/>
      <c r="H25" s="761"/>
      <c r="I25" s="767">
        <f>IF('Study Information &amp; rates'!$B$43="Yes",33.7%*H25,0)</f>
        <v>0</v>
      </c>
      <c r="J25" s="768">
        <f>IF('Study Information &amp; rates'!$B$43="No",'Set-up and other costs'!$B$18*'UHS Individual cost'!H25,'Set-up and other costs'!$B$18*(I25)+H25)</f>
        <v>0</v>
      </c>
      <c r="K25" s="608">
        <f>IF(P25="Research Cost A",H25,0)</f>
        <v>0</v>
      </c>
      <c r="L25" s="608">
        <f>IF(P25="Research Cost B",H25,0)</f>
        <v>0</v>
      </c>
      <c r="M25" s="608">
        <f>IF(P25="Service Support Cost",H25,0)</f>
        <v>0</v>
      </c>
      <c r="N25" s="608">
        <f>IF(P25="Treatment Cost",H25,0)</f>
        <v>0</v>
      </c>
      <c r="O25" s="608">
        <f>IF(P25="Excess Treatment Cost",H25,0)</f>
        <v>0</v>
      </c>
      <c r="P25" s="411"/>
      <c r="R25" s="413"/>
      <c r="S25" s="413"/>
      <c r="T25" s="413"/>
      <c r="U25" s="413"/>
      <c r="V25" s="413">
        <f>SUM(R25:U25)</f>
        <v>0</v>
      </c>
    </row>
    <row r="26" spans="1:22" s="417" customFormat="1" ht="14.25" customHeight="1">
      <c r="A26" s="570"/>
      <c r="B26" s="578"/>
      <c r="C26" s="578"/>
      <c r="D26" s="396"/>
      <c r="E26" s="565"/>
      <c r="F26" s="554"/>
      <c r="G26" s="591"/>
      <c r="H26" s="761"/>
      <c r="I26" s="767">
        <f>IF('Study Information &amp; rates'!$B$43="Yes",33.7%*H26,0)</f>
        <v>0</v>
      </c>
      <c r="J26" s="768">
        <f>IF('Study Information &amp; rates'!$B$43="No",'Set-up and other costs'!$B$18*'UHS Individual cost'!H26,'Set-up and other costs'!$B$18*(I26)+H26)</f>
        <v>0</v>
      </c>
      <c r="K26" s="608">
        <f>IF(P26="Research Cost A",H26,0)</f>
        <v>0</v>
      </c>
      <c r="L26" s="608">
        <f>IF(P26="Research Cost B",H26,0)</f>
        <v>0</v>
      </c>
      <c r="M26" s="608">
        <f>IF(P26="Service Support Cost",H26,0)</f>
        <v>0</v>
      </c>
      <c r="N26" s="608">
        <f>IF(P26="Treatment Cost",H26,0)</f>
        <v>0</v>
      </c>
      <c r="O26" s="608">
        <f>IF(P26="Excess Treatment Cost",H26,0)</f>
        <v>0</v>
      </c>
      <c r="P26" s="411"/>
      <c r="R26" s="413"/>
      <c r="S26" s="413"/>
      <c r="T26" s="413"/>
      <c r="U26" s="413"/>
      <c r="V26" s="413">
        <f>SUM(R26:U26)</f>
        <v>0</v>
      </c>
    </row>
    <row r="27" spans="1:22" ht="14.5">
      <c r="A27" s="567"/>
      <c r="B27" s="567"/>
      <c r="C27" s="567"/>
      <c r="D27" s="567"/>
      <c r="E27" s="567"/>
      <c r="F27" s="567"/>
      <c r="G27" s="567"/>
      <c r="H27" s="414"/>
      <c r="I27" s="414"/>
      <c r="J27" s="402"/>
      <c r="K27" s="402"/>
      <c r="L27" s="402"/>
      <c r="M27" s="402"/>
      <c r="N27" s="402"/>
      <c r="O27" s="402"/>
      <c r="P27" s="415"/>
      <c r="Q27" s="417"/>
      <c r="R27" s="417"/>
      <c r="S27" s="417"/>
      <c r="T27" s="417"/>
      <c r="U27" s="417"/>
      <c r="V27" s="417"/>
    </row>
    <row r="28" spans="1:22" ht="29">
      <c r="A28" s="601" t="s">
        <v>2257</v>
      </c>
      <c r="B28" s="567"/>
      <c r="C28" s="567"/>
      <c r="D28" s="567"/>
      <c r="E28" s="567"/>
      <c r="F28" s="567"/>
      <c r="G28" s="567"/>
      <c r="H28" s="414"/>
      <c r="I28" s="414"/>
      <c r="J28" s="402"/>
      <c r="K28" s="402"/>
      <c r="L28" s="402"/>
      <c r="M28" s="402"/>
      <c r="N28" s="402"/>
      <c r="O28" s="402"/>
      <c r="P28" s="415"/>
      <c r="Q28" s="417"/>
      <c r="R28" s="417"/>
      <c r="S28" s="417"/>
      <c r="T28" s="417"/>
      <c r="U28" s="417"/>
      <c r="V28" s="417"/>
    </row>
    <row r="29" spans="1:22" ht="29">
      <c r="A29" s="600" t="s">
        <v>2238</v>
      </c>
      <c r="B29" s="418"/>
      <c r="C29" s="418"/>
      <c r="D29" s="410"/>
      <c r="E29" s="410"/>
      <c r="F29" s="410"/>
      <c r="G29" s="410"/>
      <c r="H29" s="402"/>
      <c r="I29" s="402"/>
      <c r="J29" s="395"/>
      <c r="K29" s="395"/>
      <c r="L29" s="395"/>
      <c r="M29" s="395"/>
      <c r="N29" s="395"/>
      <c r="O29" s="395"/>
      <c r="P29" s="398"/>
      <c r="Q29" s="402"/>
      <c r="R29" s="402"/>
      <c r="S29" s="417"/>
      <c r="T29" s="417"/>
      <c r="U29" s="417"/>
      <c r="V29" s="417"/>
    </row>
    <row r="30" spans="1:22" ht="43.5">
      <c r="A30" s="599" t="s">
        <v>2241</v>
      </c>
      <c r="B30" s="1054" t="s">
        <v>2240</v>
      </c>
      <c r="C30" s="1055"/>
      <c r="D30" s="1055"/>
      <c r="E30" s="1055"/>
      <c r="F30" s="1055"/>
      <c r="G30" s="1055"/>
      <c r="H30" s="404" t="s">
        <v>2309</v>
      </c>
      <c r="I30" s="404" t="s">
        <v>2310</v>
      </c>
      <c r="J30" s="771" t="s">
        <v>2201</v>
      </c>
      <c r="K30" s="391" t="s">
        <v>2202</v>
      </c>
      <c r="L30" s="403"/>
      <c r="M30" s="403"/>
      <c r="N30" s="403"/>
      <c r="O30" s="403"/>
      <c r="P30" s="409" t="s">
        <v>2475</v>
      </c>
      <c r="Q30" s="402"/>
      <c r="R30" s="402"/>
      <c r="S30" s="417"/>
      <c r="T30" s="417"/>
      <c r="U30" s="417"/>
      <c r="V30" s="417"/>
    </row>
    <row r="31" spans="1:22" ht="12.75" customHeight="1">
      <c r="A31" s="579" t="s">
        <v>2215</v>
      </c>
      <c r="B31" s="1052"/>
      <c r="C31" s="1053"/>
      <c r="D31" s="1053"/>
      <c r="E31" s="1053"/>
      <c r="F31" s="1053"/>
      <c r="G31" s="1053"/>
      <c r="H31" s="591"/>
      <c r="I31" s="591"/>
      <c r="J31" s="775">
        <f>'Set-up and other costs'!$B$18*('UHS Individual cost'!H31*I31)</f>
        <v>0</v>
      </c>
      <c r="K31" s="400">
        <f>IF(P31="Research Cost A",J31,0)</f>
        <v>0</v>
      </c>
      <c r="L31" s="400">
        <f>IF(P31="Research Cost B",J31,0)</f>
        <v>0</v>
      </c>
      <c r="M31" s="400">
        <f>IF(P31="Service Support Cost",J31,0)</f>
        <v>0</v>
      </c>
      <c r="N31" s="400">
        <f>IF(P31="Treatment Cost",J31,0)</f>
        <v>0</v>
      </c>
      <c r="O31" s="400">
        <f>IF(P31="Excess Treatment Cost",J31,0)</f>
        <v>0</v>
      </c>
      <c r="P31" s="411"/>
      <c r="Q31" s="402"/>
      <c r="R31" s="402"/>
      <c r="S31" s="417"/>
      <c r="T31" s="417"/>
      <c r="U31" s="417"/>
      <c r="V31" s="417"/>
    </row>
    <row r="32" spans="1:22" ht="12.75" customHeight="1">
      <c r="A32" s="570" t="s">
        <v>2216</v>
      </c>
      <c r="B32" s="554"/>
      <c r="C32" s="1057"/>
      <c r="D32" s="1057"/>
      <c r="E32" s="1057"/>
      <c r="F32" s="1057"/>
      <c r="G32" s="1057"/>
      <c r="H32" s="591"/>
      <c r="I32" s="591"/>
      <c r="J32" s="775">
        <f>'Set-up and other costs'!$B$18*('UHS Individual cost'!H32*I32)</f>
        <v>0</v>
      </c>
      <c r="K32" s="400">
        <f>IF(P32="Research Cost A",J32,0)</f>
        <v>0</v>
      </c>
      <c r="L32" s="400">
        <f>IF(P32="Research Cost B",J32,0)</f>
        <v>0</v>
      </c>
      <c r="M32" s="400">
        <f>IF(P32="Service Support Cost",J32,0)</f>
        <v>0</v>
      </c>
      <c r="N32" s="400">
        <f>IF(P32="Treatment Cost",J32,0)</f>
        <v>0</v>
      </c>
      <c r="O32" s="400">
        <f>IF(P32="Excess Treatment Cost",J32,0)</f>
        <v>0</v>
      </c>
      <c r="P32" s="411"/>
      <c r="Q32" s="412"/>
      <c r="R32" s="412"/>
      <c r="S32" s="417"/>
      <c r="T32" s="417"/>
      <c r="U32" s="417"/>
      <c r="V32" s="417"/>
    </row>
    <row r="33" spans="1:22" ht="12.75" customHeight="1">
      <c r="A33" s="570" t="s">
        <v>2217</v>
      </c>
      <c r="B33" s="554"/>
      <c r="C33" s="1057"/>
      <c r="D33" s="1057"/>
      <c r="E33" s="1057"/>
      <c r="F33" s="1057"/>
      <c r="G33" s="1057"/>
      <c r="H33" s="591"/>
      <c r="I33" s="591"/>
      <c r="J33" s="775">
        <f>'Set-up and other costs'!$B$18*('UHS Individual cost'!H33*I33)</f>
        <v>0</v>
      </c>
      <c r="K33" s="400">
        <f>IF(P33="Research Cost A",J33,0)</f>
        <v>0</v>
      </c>
      <c r="L33" s="400">
        <f>IF(P33="Research Cost B",J33,0)</f>
        <v>0</v>
      </c>
      <c r="M33" s="400">
        <f>IF(P33="Service Support Cost",J33,0)</f>
        <v>0</v>
      </c>
      <c r="N33" s="400">
        <f>IF(P33="Treatment Cost",J33,0)</f>
        <v>0</v>
      </c>
      <c r="O33" s="400">
        <f>IF(P33="Excess Treatment Cost",J33,0)</f>
        <v>0</v>
      </c>
      <c r="P33" s="609"/>
      <c r="Q33" s="412"/>
      <c r="R33" s="412"/>
      <c r="S33" s="417"/>
      <c r="T33" s="417"/>
      <c r="U33" s="417"/>
      <c r="V33" s="417"/>
    </row>
    <row r="34" spans="1:22" ht="12.75" customHeight="1">
      <c r="A34" s="570" t="s">
        <v>2218</v>
      </c>
      <c r="B34" s="554"/>
      <c r="C34" s="1057"/>
      <c r="D34" s="1057"/>
      <c r="E34" s="1057"/>
      <c r="F34" s="1057"/>
      <c r="G34" s="1057"/>
      <c r="H34" s="591"/>
      <c r="I34" s="591"/>
      <c r="J34" s="775">
        <f>'Set-up and other costs'!$B$18*('UHS Individual cost'!H34*I34)</f>
        <v>0</v>
      </c>
      <c r="K34" s="400">
        <f>IF(P34="Research Cost A",J34,0)</f>
        <v>0</v>
      </c>
      <c r="L34" s="400">
        <f>IF(P34="Research Cost B",J34,0)</f>
        <v>0</v>
      </c>
      <c r="M34" s="400">
        <f>IF(P34="Service Support Cost",J34,0)</f>
        <v>0</v>
      </c>
      <c r="N34" s="400">
        <f>IF(P34="Treatment Cost",J34,0)</f>
        <v>0</v>
      </c>
      <c r="O34" s="400">
        <f>IF(P34="Excess Treatment Cost",J34,0)</f>
        <v>0</v>
      </c>
      <c r="P34" s="411"/>
      <c r="Q34" s="412"/>
      <c r="R34" s="412"/>
      <c r="S34" s="417"/>
      <c r="T34" s="417"/>
      <c r="U34" s="417"/>
      <c r="V34" s="417"/>
    </row>
    <row r="35" spans="1:22" ht="12.75" customHeight="1">
      <c r="A35" s="570" t="s">
        <v>2219</v>
      </c>
      <c r="B35" s="554"/>
      <c r="C35" s="1057"/>
      <c r="D35" s="1057"/>
      <c r="E35" s="1057"/>
      <c r="F35" s="1057"/>
      <c r="G35" s="1057"/>
      <c r="H35" s="591"/>
      <c r="I35" s="591"/>
      <c r="J35" s="775">
        <f>'Set-up and other costs'!$B$18*('UHS Individual cost'!H35*I35)</f>
        <v>0</v>
      </c>
      <c r="K35" s="400">
        <f>IF(P35="Research Cost A",J35,0)</f>
        <v>0</v>
      </c>
      <c r="L35" s="400">
        <f>IF(P35="Research Cost B",J35,0)</f>
        <v>0</v>
      </c>
      <c r="M35" s="400">
        <f>IF(P35="Service Support Cost",J35,0)</f>
        <v>0</v>
      </c>
      <c r="N35" s="400">
        <f>IF(P35="Treatment Cost",J35,0)</f>
        <v>0</v>
      </c>
      <c r="O35" s="400">
        <f>IF(P35="Excess Treatment Cost",J35,0)</f>
        <v>0</v>
      </c>
      <c r="P35" s="411"/>
      <c r="Q35" s="412"/>
      <c r="R35" s="412"/>
      <c r="S35" s="417"/>
      <c r="T35" s="417"/>
      <c r="U35" s="417"/>
      <c r="V35" s="417"/>
    </row>
    <row r="36" spans="1:22" ht="12.75" customHeight="1">
      <c r="A36" s="570" t="s">
        <v>1816</v>
      </c>
      <c r="B36" s="554"/>
      <c r="C36" s="1057"/>
      <c r="D36" s="1057"/>
      <c r="E36" s="1057"/>
      <c r="F36" s="1057"/>
      <c r="G36" s="1057"/>
      <c r="H36" s="591"/>
      <c r="I36" s="591"/>
      <c r="J36" s="775">
        <f>'Set-up and other costs'!$B$18*('UHS Individual cost'!H36*I36)</f>
        <v>0</v>
      </c>
      <c r="K36" s="400">
        <f>IF(P36="Research Cost A",J36,0)</f>
        <v>0</v>
      </c>
      <c r="L36" s="400">
        <f>IF(P36="Research Cost B",J36,0)</f>
        <v>0</v>
      </c>
      <c r="M36" s="400">
        <f>IF(P36="Service Support Cost",J36,0)</f>
        <v>0</v>
      </c>
      <c r="N36" s="400">
        <f>IF(P36="Treatment Cost",J36,0)</f>
        <v>0</v>
      </c>
      <c r="O36" s="400">
        <f>IF(P36="Excess Treatment Cost",J36,0)</f>
        <v>0</v>
      </c>
      <c r="P36" s="411"/>
      <c r="Q36" s="412"/>
      <c r="R36" s="412"/>
      <c r="S36" s="417"/>
      <c r="T36" s="417"/>
      <c r="U36" s="417"/>
      <c r="V36" s="417"/>
    </row>
    <row r="37" spans="1:22" ht="12.75" customHeight="1">
      <c r="A37" s="570" t="s">
        <v>2220</v>
      </c>
      <c r="B37" s="554"/>
      <c r="C37" s="1057"/>
      <c r="D37" s="1057"/>
      <c r="E37" s="1057"/>
      <c r="F37" s="1057"/>
      <c r="G37" s="1057"/>
      <c r="H37" s="591"/>
      <c r="I37" s="591"/>
      <c r="J37" s="775">
        <f>'Set-up and other costs'!$B$18*('UHS Individual cost'!H37*I37)</f>
        <v>0</v>
      </c>
      <c r="K37" s="400">
        <f>IF(P37="Research Cost A",J37,0)</f>
        <v>0</v>
      </c>
      <c r="L37" s="400">
        <f>IF(P37="Research Cost B",J37,0)</f>
        <v>0</v>
      </c>
      <c r="M37" s="400">
        <f>IF(P37="Service Support Cost",J37,0)</f>
        <v>0</v>
      </c>
      <c r="N37" s="400">
        <f>IF(P37="Treatment Cost",J37,0)</f>
        <v>0</v>
      </c>
      <c r="O37" s="400">
        <f>IF(P37="Excess Treatment Cost",J37,0)</f>
        <v>0</v>
      </c>
      <c r="P37" s="411"/>
      <c r="Q37" s="412"/>
      <c r="R37" s="412"/>
      <c r="S37" s="417"/>
      <c r="T37" s="417"/>
      <c r="U37" s="417"/>
      <c r="V37" s="417"/>
    </row>
    <row r="38" spans="1:22" ht="12.75" customHeight="1">
      <c r="A38" s="570" t="s">
        <v>2221</v>
      </c>
      <c r="B38" s="554"/>
      <c r="C38" s="1057"/>
      <c r="D38" s="1057"/>
      <c r="E38" s="1057"/>
      <c r="F38" s="1057"/>
      <c r="G38" s="1057"/>
      <c r="H38" s="591"/>
      <c r="I38" s="591"/>
      <c r="J38" s="775">
        <f>'Set-up and other costs'!$B$18*('UHS Individual cost'!H38*I38)</f>
        <v>0</v>
      </c>
      <c r="K38" s="400">
        <f>IF(P38="Research Cost A",J38,0)</f>
        <v>0</v>
      </c>
      <c r="L38" s="400">
        <f>IF(P38="Research Cost B",J38,0)</f>
        <v>0</v>
      </c>
      <c r="M38" s="400">
        <f>IF(P38="Service Support Cost",J38,0)</f>
        <v>0</v>
      </c>
      <c r="N38" s="400">
        <f>IF(P38="Treatment Cost",J38,0)</f>
        <v>0</v>
      </c>
      <c r="O38" s="400">
        <f>IF(P38="Excess Treatment Cost",J38,0)</f>
        <v>0</v>
      </c>
      <c r="P38" s="411"/>
      <c r="Q38" s="412"/>
      <c r="R38" s="412"/>
      <c r="S38" s="417"/>
      <c r="T38" s="417"/>
      <c r="U38" s="417"/>
      <c r="V38" s="417"/>
    </row>
    <row r="39" spans="1:22" ht="12.75" customHeight="1">
      <c r="A39" s="570" t="s">
        <v>2222</v>
      </c>
      <c r="B39" s="554"/>
      <c r="C39" s="1057"/>
      <c r="D39" s="1057"/>
      <c r="E39" s="1057"/>
      <c r="F39" s="1057"/>
      <c r="G39" s="1057"/>
      <c r="H39" s="591"/>
      <c r="I39" s="591"/>
      <c r="J39" s="775">
        <f>'Set-up and other costs'!$B$18*('UHS Individual cost'!H39*I39)</f>
        <v>0</v>
      </c>
      <c r="K39" s="400">
        <f>IF(P39="Research Cost A",J39,0)</f>
        <v>0</v>
      </c>
      <c r="L39" s="400">
        <f>IF(P39="Research Cost B",J39,0)</f>
        <v>0</v>
      </c>
      <c r="M39" s="400">
        <f>IF(P39="Service Support Cost",J39,0)</f>
        <v>0</v>
      </c>
      <c r="N39" s="400">
        <f>IF(P39="Treatment Cost",J39,0)</f>
        <v>0</v>
      </c>
      <c r="O39" s="400">
        <f>IF(P39="Excess Treatment Cost",J39,0)</f>
        <v>0</v>
      </c>
      <c r="P39" s="411"/>
      <c r="Q39" s="412"/>
      <c r="R39" s="412"/>
      <c r="S39" s="417"/>
      <c r="T39" s="417"/>
      <c r="U39" s="417"/>
      <c r="V39" s="417"/>
    </row>
    <row r="40" spans="1:22" ht="12.75" customHeight="1">
      <c r="A40" s="579" t="s">
        <v>2223</v>
      </c>
      <c r="B40" s="1056"/>
      <c r="C40" s="1057"/>
      <c r="D40" s="1057"/>
      <c r="E40" s="1057"/>
      <c r="F40" s="1057"/>
      <c r="G40" s="1057"/>
      <c r="H40" s="591"/>
      <c r="I40" s="591"/>
      <c r="J40" s="775">
        <f>'Set-up and other costs'!$B$18*('UHS Individual cost'!H40*I40)</f>
        <v>0</v>
      </c>
      <c r="K40" s="400">
        <f>IF(P40="Research Cost A",J40,0)</f>
        <v>0</v>
      </c>
      <c r="L40" s="400">
        <f>IF(P40="Research Cost B",J40,0)</f>
        <v>0</v>
      </c>
      <c r="M40" s="400">
        <f>IF(P40="Service Support Cost",J40,0)</f>
        <v>0</v>
      </c>
      <c r="N40" s="400">
        <f>IF(P40="Treatment Cost",J40,0)</f>
        <v>0</v>
      </c>
      <c r="O40" s="400">
        <f>IF(P40="Excess Treatment Cost",J40,0)</f>
        <v>0</v>
      </c>
      <c r="P40" s="411"/>
      <c r="Q40" s="412"/>
      <c r="R40" s="412"/>
      <c r="S40" s="417"/>
      <c r="T40" s="417"/>
      <c r="U40" s="417"/>
      <c r="V40" s="417"/>
    </row>
    <row r="41" spans="1:22" ht="14.5">
      <c r="A41" s="580"/>
      <c r="B41" s="418"/>
      <c r="C41" s="581"/>
      <c r="D41" s="581"/>
      <c r="E41" s="581"/>
      <c r="F41" s="418"/>
      <c r="G41" s="418"/>
      <c r="H41" s="419"/>
      <c r="I41" s="419"/>
      <c r="J41" s="770"/>
      <c r="K41" s="402"/>
      <c r="L41" s="402"/>
      <c r="M41" s="402"/>
      <c r="N41" s="402"/>
      <c r="O41" s="402"/>
      <c r="P41" s="415"/>
      <c r="Q41" s="417"/>
      <c r="R41" s="417"/>
      <c r="S41" s="417"/>
      <c r="T41" s="417"/>
      <c r="U41" s="417"/>
      <c r="V41" s="417"/>
    </row>
    <row r="42" spans="1:22" ht="14.5">
      <c r="A42" s="582"/>
      <c r="B42" s="418"/>
      <c r="C42" s="581"/>
      <c r="D42" s="581"/>
      <c r="E42" s="581"/>
      <c r="F42" s="418"/>
      <c r="G42" s="567"/>
      <c r="H42" s="414"/>
      <c r="I42" s="414"/>
      <c r="J42" s="770"/>
      <c r="K42" s="402"/>
      <c r="L42" s="402"/>
      <c r="M42" s="402"/>
      <c r="N42" s="402"/>
      <c r="O42" s="402"/>
      <c r="P42" s="415"/>
      <c r="Q42" s="417"/>
      <c r="R42" s="417"/>
      <c r="S42" s="417"/>
      <c r="T42" s="417"/>
      <c r="U42" s="417"/>
      <c r="V42" s="417"/>
    </row>
    <row r="43" spans="1:22" ht="29">
      <c r="A43" s="601" t="s">
        <v>2257</v>
      </c>
      <c r="B43" s="1058" t="s">
        <v>2471</v>
      </c>
      <c r="C43" s="1058"/>
      <c r="D43" s="567"/>
      <c r="E43" s="567"/>
      <c r="F43" s="567"/>
      <c r="G43" s="567"/>
      <c r="H43" s="414"/>
      <c r="I43" s="414"/>
      <c r="J43" s="770"/>
      <c r="K43" s="402"/>
      <c r="L43" s="402"/>
      <c r="M43" s="402"/>
      <c r="N43" s="402"/>
      <c r="O43" s="402"/>
      <c r="P43" s="415"/>
      <c r="Q43" s="417"/>
      <c r="R43" s="417"/>
      <c r="S43" s="417"/>
      <c r="T43" s="417"/>
      <c r="U43" s="417"/>
      <c r="V43" s="417"/>
    </row>
    <row r="44" spans="1:22" ht="43.5">
      <c r="A44" s="583"/>
      <c r="B44" s="404" t="s">
        <v>2280</v>
      </c>
      <c r="C44" s="404" t="s">
        <v>2281</v>
      </c>
      <c r="D44" s="404" t="s">
        <v>2282</v>
      </c>
      <c r="E44" s="404" t="s">
        <v>2283</v>
      </c>
      <c r="F44" s="404" t="s">
        <v>2284</v>
      </c>
      <c r="G44" s="404" t="s">
        <v>2285</v>
      </c>
      <c r="H44" s="404" t="s">
        <v>2286</v>
      </c>
      <c r="I44" s="404" t="s">
        <v>2308</v>
      </c>
      <c r="J44" s="776" t="s">
        <v>2201</v>
      </c>
      <c r="K44" s="394" t="s">
        <v>2202</v>
      </c>
      <c r="L44" s="394"/>
      <c r="M44" s="394"/>
      <c r="N44" s="394"/>
      <c r="O44" s="391"/>
      <c r="P44" s="409" t="s">
        <v>2475</v>
      </c>
      <c r="Q44" s="417"/>
      <c r="R44" s="417"/>
      <c r="S44" s="417"/>
      <c r="T44" s="417"/>
      <c r="U44" s="417"/>
      <c r="V44" s="417"/>
    </row>
    <row r="45" spans="1:22" ht="14.5">
      <c r="A45" s="584" t="s">
        <v>2229</v>
      </c>
      <c r="B45" s="403"/>
      <c r="C45" s="403"/>
      <c r="D45" s="403"/>
      <c r="E45" s="403"/>
      <c r="F45" s="403"/>
      <c r="G45" s="403"/>
      <c r="H45" s="474"/>
      <c r="I45" s="474"/>
      <c r="J45" s="777"/>
      <c r="K45" s="474"/>
      <c r="L45" s="474"/>
      <c r="M45" s="474"/>
      <c r="N45" s="474"/>
      <c r="O45" s="474"/>
      <c r="P45" s="474"/>
      <c r="Q45" s="417"/>
      <c r="R45" s="417"/>
      <c r="S45" s="417"/>
      <c r="T45" s="417"/>
      <c r="U45" s="417"/>
      <c r="V45" s="417"/>
    </row>
    <row r="46" spans="1:22" ht="12.75" customHeight="1">
      <c r="A46" s="585" t="s">
        <v>2230</v>
      </c>
      <c r="B46" s="586"/>
      <c r="C46" s="586"/>
      <c r="D46" s="586"/>
      <c r="E46" s="586"/>
      <c r="F46" s="586"/>
      <c r="G46" s="586"/>
      <c r="H46" s="762"/>
      <c r="I46" s="759"/>
      <c r="J46" s="778">
        <f>'Set-up and other costs'!$B$18*SUM(B46:I46)</f>
        <v>0</v>
      </c>
      <c r="K46" s="400">
        <f>IF(P46="Research Cost A",J46,0)</f>
        <v>0</v>
      </c>
      <c r="L46" s="400">
        <f>IF(P46="Research Cost B",J46,0)</f>
        <v>0</v>
      </c>
      <c r="M46" s="400">
        <f>IF(P46="Service Support Cost",J46,0)</f>
        <v>0</v>
      </c>
      <c r="N46" s="400">
        <f>IF(P46="Treatment Cost",J46,0)</f>
        <v>0</v>
      </c>
      <c r="O46" s="400">
        <f>IF(P46="Excess Treatment Cost",J46,0)</f>
        <v>0</v>
      </c>
      <c r="P46" s="411"/>
      <c r="Q46" s="417"/>
      <c r="R46" s="417"/>
      <c r="S46" s="417"/>
      <c r="T46" s="417"/>
      <c r="U46" s="417"/>
      <c r="V46" s="417"/>
    </row>
    <row r="47" spans="1:22" ht="12.75" customHeight="1">
      <c r="A47" s="587" t="s">
        <v>230</v>
      </c>
      <c r="B47" s="588"/>
      <c r="C47" s="588"/>
      <c r="D47" s="588"/>
      <c r="E47" s="588"/>
      <c r="F47" s="588"/>
      <c r="G47" s="588"/>
      <c r="H47" s="762"/>
      <c r="I47" s="759"/>
      <c r="J47" s="778">
        <f>'Set-up and other costs'!$B$18*SUM(B47:I47)</f>
        <v>0</v>
      </c>
      <c r="K47" s="400">
        <f>IF(P47="Research Cost A",J47,0)</f>
        <v>0</v>
      </c>
      <c r="L47" s="400">
        <f>IF(P47="Research Cost B",J47,0)</f>
        <v>0</v>
      </c>
      <c r="M47" s="400">
        <f>IF(P47="Service Support Cost",J47,0)</f>
        <v>0</v>
      </c>
      <c r="N47" s="400">
        <f>IF(P47="Treatment Cost",J47,0)</f>
        <v>0</v>
      </c>
      <c r="O47" s="400">
        <f>IF(P47="Excess Treatment Cost",J47,0)</f>
        <v>0</v>
      </c>
      <c r="P47" s="411"/>
      <c r="Q47" s="417"/>
      <c r="R47" s="417"/>
      <c r="S47" s="417"/>
      <c r="T47" s="417"/>
      <c r="U47" s="417"/>
      <c r="V47" s="417"/>
    </row>
    <row r="48" spans="1:22" ht="12.75" customHeight="1">
      <c r="A48" s="587" t="s">
        <v>2210</v>
      </c>
      <c r="B48" s="589"/>
      <c r="C48" s="589"/>
      <c r="D48" s="589"/>
      <c r="E48" s="589"/>
      <c r="F48" s="589"/>
      <c r="G48" s="589"/>
      <c r="H48" s="762"/>
      <c r="I48" s="759"/>
      <c r="J48" s="778">
        <f>'Set-up and other costs'!$B$18*SUM(B48:I48)</f>
        <v>0</v>
      </c>
      <c r="K48" s="400">
        <f>IF(P48="Research Cost A",J48,0)</f>
        <v>0</v>
      </c>
      <c r="L48" s="400">
        <f>IF(P48="Research Cost B",J48,0)</f>
        <v>0</v>
      </c>
      <c r="M48" s="400">
        <f>IF(P48="Service Support Cost",J48,0)</f>
        <v>0</v>
      </c>
      <c r="N48" s="400">
        <f>IF(P48="Treatment Cost",J48,0)</f>
        <v>0</v>
      </c>
      <c r="O48" s="400">
        <f>IF(P48="Excess Treatment Cost",J48,0)</f>
        <v>0</v>
      </c>
      <c r="P48" s="609"/>
      <c r="Q48" s="417"/>
      <c r="R48" s="417"/>
      <c r="S48" s="417"/>
      <c r="T48" s="417"/>
      <c r="U48" s="417"/>
      <c r="V48" s="417"/>
    </row>
    <row r="49" spans="1:22" ht="12.75" customHeight="1">
      <c r="A49" s="587"/>
      <c r="B49" s="590"/>
      <c r="C49" s="590"/>
      <c r="D49" s="590"/>
      <c r="E49" s="590"/>
      <c r="F49" s="590"/>
      <c r="G49" s="590"/>
      <c r="H49" s="762"/>
      <c r="I49" s="759"/>
      <c r="J49" s="778">
        <f>'Set-up and other costs'!$B$18*SUM(B49:I49)</f>
        <v>0</v>
      </c>
      <c r="K49" s="400">
        <f>IF(P49="Research Cost A",J49,0)</f>
        <v>0</v>
      </c>
      <c r="L49" s="400">
        <f>IF(P49="Research Cost B",J49,0)</f>
        <v>0</v>
      </c>
      <c r="M49" s="400">
        <f>IF(P49="Service Support Cost",J49,0)</f>
        <v>0</v>
      </c>
      <c r="N49" s="400">
        <f>IF(P49="Treatment Cost",J49,0)</f>
        <v>0</v>
      </c>
      <c r="O49" s="400">
        <f>IF(P49="Excess Treatment Cost",J49,0)</f>
        <v>0</v>
      </c>
      <c r="P49" s="411"/>
      <c r="Q49" s="417"/>
      <c r="R49" s="417"/>
      <c r="S49" s="417"/>
      <c r="T49" s="417"/>
      <c r="U49" s="417"/>
      <c r="V49" s="417"/>
    </row>
    <row r="50" spans="1:22" ht="12.75" customHeight="1">
      <c r="A50" s="585"/>
      <c r="B50" s="591"/>
      <c r="C50" s="591"/>
      <c r="D50" s="591"/>
      <c r="E50" s="591"/>
      <c r="F50" s="591"/>
      <c r="G50" s="591"/>
      <c r="H50" s="762"/>
      <c r="I50" s="759"/>
      <c r="J50" s="778">
        <f>'Set-up and other costs'!$B$18*SUM(B50:I50)</f>
        <v>0</v>
      </c>
      <c r="K50" s="400">
        <f>IF(P50="Research Cost A",J50,0)</f>
        <v>0</v>
      </c>
      <c r="L50" s="400">
        <f>IF(P50="Research Cost B",J50,0)</f>
        <v>0</v>
      </c>
      <c r="M50" s="400">
        <f>IF(P50="Service Support Cost",J50,0)</f>
        <v>0</v>
      </c>
      <c r="N50" s="400">
        <f>IF(P50="Treatment Cost",J50,0)</f>
        <v>0</v>
      </c>
      <c r="O50" s="400">
        <f>IF(P50="Excess Treatment Cost",J50,0)</f>
        <v>0</v>
      </c>
      <c r="P50" s="411"/>
      <c r="Q50" s="412"/>
      <c r="R50" s="412"/>
      <c r="S50" s="417"/>
      <c r="T50" s="417"/>
      <c r="U50" s="417"/>
      <c r="V50" s="417"/>
    </row>
    <row r="51" spans="1:22" ht="29">
      <c r="A51" s="592" t="s">
        <v>2231</v>
      </c>
      <c r="B51" s="403"/>
      <c r="C51" s="403"/>
      <c r="D51" s="403"/>
      <c r="E51" s="403"/>
      <c r="F51" s="403"/>
      <c r="G51" s="403"/>
      <c r="H51" s="474"/>
      <c r="I51" s="474"/>
      <c r="J51" s="777"/>
      <c r="K51" s="474"/>
      <c r="L51" s="474"/>
      <c r="M51" s="474"/>
      <c r="N51" s="474"/>
      <c r="O51" s="474"/>
      <c r="P51" s="474"/>
      <c r="Q51" s="412"/>
      <c r="R51" s="412"/>
      <c r="S51" s="417"/>
      <c r="T51" s="417"/>
      <c r="U51" s="417"/>
      <c r="V51" s="417"/>
    </row>
    <row r="52" spans="1:22" ht="14.25" customHeight="1">
      <c r="A52" s="585" t="s">
        <v>2232</v>
      </c>
      <c r="B52" s="591"/>
      <c r="C52" s="591"/>
      <c r="D52" s="591"/>
      <c r="E52" s="591"/>
      <c r="F52" s="591"/>
      <c r="G52" s="591"/>
      <c r="H52" s="762"/>
      <c r="I52" s="759"/>
      <c r="J52" s="778">
        <f>'Set-up and other costs'!$B$18*SUM(B52:I52)</f>
        <v>0</v>
      </c>
      <c r="K52" s="400">
        <f>IF(P52="Research Cost A",J52,0)</f>
        <v>0</v>
      </c>
      <c r="L52" s="400">
        <f>IF(P52="Research Cost B",J52,0)</f>
        <v>0</v>
      </c>
      <c r="M52" s="400">
        <f>IF(P52="Service Support Cost",J52,0)</f>
        <v>0</v>
      </c>
      <c r="N52" s="400">
        <f>IF(P52="Treatment Cost",J52,0)</f>
        <v>0</v>
      </c>
      <c r="O52" s="400">
        <f>IF(P52="Excess Treatment Cost",J52,0)</f>
        <v>0</v>
      </c>
      <c r="P52" s="411"/>
      <c r="Q52" s="420"/>
      <c r="R52" s="420"/>
      <c r="S52" s="417"/>
      <c r="T52" s="417"/>
      <c r="U52" s="417"/>
      <c r="V52" s="417"/>
    </row>
    <row r="53" spans="1:22" ht="14.25" customHeight="1">
      <c r="A53" s="587"/>
      <c r="B53" s="593"/>
      <c r="C53" s="593"/>
      <c r="D53" s="593"/>
      <c r="E53" s="593"/>
      <c r="F53" s="593"/>
      <c r="G53" s="593"/>
      <c r="H53" s="762"/>
      <c r="I53" s="759"/>
      <c r="J53" s="778">
        <f>'Set-up and other costs'!$B$18*SUM(B53:I53)</f>
        <v>0</v>
      </c>
      <c r="K53" s="400">
        <f>IF(P53="Research Cost A",J53,0)</f>
        <v>0</v>
      </c>
      <c r="L53" s="400">
        <f>IF(P53="Research Cost B",J53,0)</f>
        <v>0</v>
      </c>
      <c r="M53" s="400">
        <f>IF(P53="Service Support Cost",J53,0)</f>
        <v>0</v>
      </c>
      <c r="N53" s="400">
        <f>IF(P53="Treatment Cost",J53,0)</f>
        <v>0</v>
      </c>
      <c r="O53" s="400">
        <f>IF(P53="Excess Treatment Cost",J53,0)</f>
        <v>0</v>
      </c>
      <c r="P53" s="609"/>
      <c r="Q53" s="412"/>
      <c r="R53" s="412"/>
      <c r="S53" s="417"/>
      <c r="T53" s="417"/>
      <c r="U53" s="417"/>
      <c r="V53" s="417"/>
    </row>
    <row r="54" spans="1:22" ht="14.25" customHeight="1">
      <c r="A54" s="587"/>
      <c r="B54" s="396"/>
      <c r="C54" s="396"/>
      <c r="D54" s="396"/>
      <c r="E54" s="396"/>
      <c r="F54" s="396"/>
      <c r="G54" s="396"/>
      <c r="H54" s="762"/>
      <c r="I54" s="759"/>
      <c r="J54" s="778">
        <f>'Set-up and other costs'!$B$18*SUM(B54:I54)</f>
        <v>0</v>
      </c>
      <c r="K54" s="400">
        <f>IF(P54="Research Cost A",J54,0)</f>
        <v>0</v>
      </c>
      <c r="L54" s="400">
        <f>IF(P54="Research Cost B",J54,0)</f>
        <v>0</v>
      </c>
      <c r="M54" s="400">
        <f>IF(P54="Service Support Cost",J54,0)</f>
        <v>0</v>
      </c>
      <c r="N54" s="400">
        <f>IF(P54="Treatment Cost",J54,0)</f>
        <v>0</v>
      </c>
      <c r="O54" s="400">
        <f>IF(P54="Excess Treatment Cost",J54,0)</f>
        <v>0</v>
      </c>
      <c r="P54" s="411"/>
      <c r="Q54" s="412"/>
      <c r="R54" s="412"/>
      <c r="S54" s="417"/>
      <c r="T54" s="417"/>
      <c r="U54" s="417"/>
      <c r="V54" s="417"/>
    </row>
    <row r="55" spans="1:22" ht="14.25" customHeight="1">
      <c r="A55" s="587"/>
      <c r="B55" s="594"/>
      <c r="C55" s="594"/>
      <c r="D55" s="594"/>
      <c r="E55" s="594"/>
      <c r="F55" s="594"/>
      <c r="G55" s="594"/>
      <c r="H55" s="762"/>
      <c r="I55" s="759"/>
      <c r="J55" s="778">
        <f>'Set-up and other costs'!$B$18*SUM(B55:I55)</f>
        <v>0</v>
      </c>
      <c r="K55" s="400">
        <f>IF(P55="Research Cost A",J55,0)</f>
        <v>0</v>
      </c>
      <c r="L55" s="400">
        <f>IF(P55="Research Cost B",J55,0)</f>
        <v>0</v>
      </c>
      <c r="M55" s="400">
        <f>IF(P55="Service Support Cost",J55,0)</f>
        <v>0</v>
      </c>
      <c r="N55" s="400">
        <f>IF(P55="Treatment Cost",J55,0)</f>
        <v>0</v>
      </c>
      <c r="O55" s="400">
        <f>IF(P55="Excess Treatment Cost",J55,0)</f>
        <v>0</v>
      </c>
      <c r="P55" s="411"/>
      <c r="Q55" s="412"/>
      <c r="R55" s="412"/>
      <c r="S55" s="417"/>
      <c r="T55" s="417"/>
      <c r="U55" s="417"/>
      <c r="V55" s="417"/>
    </row>
    <row r="56" spans="1:22" ht="14.25" customHeight="1">
      <c r="A56" s="585"/>
      <c r="B56" s="591"/>
      <c r="C56" s="591"/>
      <c r="D56" s="591"/>
      <c r="E56" s="591"/>
      <c r="F56" s="591"/>
      <c r="G56" s="591"/>
      <c r="H56" s="762"/>
      <c r="I56" s="759"/>
      <c r="J56" s="778">
        <f>'Set-up and other costs'!$B$18*SUM(B56:I56)</f>
        <v>0</v>
      </c>
      <c r="K56" s="400">
        <f>IF(P56="Research Cost A",J56,0)</f>
        <v>0</v>
      </c>
      <c r="L56" s="400">
        <f>IF(P56="Research Cost B",J56,0)</f>
        <v>0</v>
      </c>
      <c r="M56" s="400">
        <f>IF(P56="Service Support Cost",J56,0)</f>
        <v>0</v>
      </c>
      <c r="N56" s="400">
        <f>IF(P56="Treatment Cost",J56,0)</f>
        <v>0</v>
      </c>
      <c r="O56" s="400">
        <f>IF(P56="Excess Treatment Cost",J56,0)</f>
        <v>0</v>
      </c>
      <c r="P56" s="411"/>
      <c r="Q56" s="412"/>
      <c r="R56" s="412"/>
      <c r="S56" s="417"/>
      <c r="T56" s="417"/>
      <c r="U56" s="417"/>
      <c r="V56" s="417"/>
    </row>
    <row r="57" spans="1:22" ht="14.5">
      <c r="A57" s="592" t="s">
        <v>2233</v>
      </c>
      <c r="B57" s="595"/>
      <c r="C57" s="595"/>
      <c r="D57" s="595"/>
      <c r="E57" s="595"/>
      <c r="F57" s="595"/>
      <c r="G57" s="595"/>
      <c r="H57" s="475"/>
      <c r="I57" s="475"/>
      <c r="J57" s="779"/>
      <c r="K57" s="475"/>
      <c r="L57" s="475"/>
      <c r="M57" s="475"/>
      <c r="N57" s="475"/>
      <c r="O57" s="475"/>
      <c r="P57" s="475"/>
      <c r="Q57" s="412"/>
      <c r="R57" s="412"/>
      <c r="S57" s="417"/>
      <c r="T57" s="417"/>
      <c r="U57" s="417"/>
      <c r="V57" s="417"/>
    </row>
    <row r="58" spans="1:22" ht="14.25" customHeight="1">
      <c r="A58" s="585" t="s">
        <v>2234</v>
      </c>
      <c r="B58" s="591"/>
      <c r="C58" s="591"/>
      <c r="D58" s="591"/>
      <c r="E58" s="591"/>
      <c r="F58" s="591"/>
      <c r="G58" s="591"/>
      <c r="H58" s="762"/>
      <c r="I58" s="759"/>
      <c r="J58" s="778">
        <f>'Set-up and other costs'!$B$18*SUM(B58:I58)</f>
        <v>0</v>
      </c>
      <c r="K58" s="400">
        <f>IF(P58="Research Cost A",J58,0)</f>
        <v>0</v>
      </c>
      <c r="L58" s="400">
        <f>IF(P58="Research Cost B",J58,0)</f>
        <v>0</v>
      </c>
      <c r="M58" s="400">
        <f>IF(P58="Service Support Cost",J58,0)</f>
        <v>0</v>
      </c>
      <c r="N58" s="400">
        <f>IF(P58="Treatment Cost",J58,0)</f>
        <v>0</v>
      </c>
      <c r="O58" s="400">
        <f>IF(P58="Excess Treatment Cost",J58,0)</f>
        <v>0</v>
      </c>
      <c r="P58" s="411"/>
      <c r="Q58" s="412"/>
      <c r="R58" s="412"/>
      <c r="S58" s="417"/>
      <c r="T58" s="417"/>
      <c r="U58" s="417"/>
      <c r="V58" s="417"/>
    </row>
    <row r="59" spans="1:22" ht="14.25" customHeight="1">
      <c r="A59" s="587" t="s">
        <v>2235</v>
      </c>
      <c r="B59" s="593"/>
      <c r="C59" s="593"/>
      <c r="D59" s="593"/>
      <c r="E59" s="593"/>
      <c r="F59" s="593"/>
      <c r="G59" s="593"/>
      <c r="H59" s="762"/>
      <c r="I59" s="759"/>
      <c r="J59" s="778">
        <f>'Set-up and other costs'!$B$18*SUM(B59:I59)</f>
        <v>0</v>
      </c>
      <c r="K59" s="400">
        <f>IF(P59="Research Cost A",J59,0)</f>
        <v>0</v>
      </c>
      <c r="L59" s="400">
        <f>IF(P59="Research Cost B",J59,0)</f>
        <v>0</v>
      </c>
      <c r="M59" s="400">
        <f>IF(P59="Service Support Cost",J59,0)</f>
        <v>0</v>
      </c>
      <c r="N59" s="400">
        <f>IF(P59="Treatment Cost",J59,0)</f>
        <v>0</v>
      </c>
      <c r="O59" s="400">
        <f>IF(P59="Excess Treatment Cost",J59,0)</f>
        <v>0</v>
      </c>
      <c r="P59" s="411"/>
      <c r="Q59" s="412"/>
      <c r="R59" s="412"/>
      <c r="S59" s="417"/>
      <c r="T59" s="417"/>
      <c r="U59" s="417"/>
      <c r="V59" s="417"/>
    </row>
    <row r="60" spans="1:22" ht="14.25" customHeight="1">
      <c r="A60" s="587" t="s">
        <v>2236</v>
      </c>
      <c r="B60" s="594"/>
      <c r="C60" s="594"/>
      <c r="D60" s="594"/>
      <c r="E60" s="594"/>
      <c r="F60" s="594"/>
      <c r="G60" s="594"/>
      <c r="H60" s="762"/>
      <c r="I60" s="759"/>
      <c r="J60" s="778">
        <f>'Set-up and other costs'!$B$18*SUM(B60:I60)</f>
        <v>0</v>
      </c>
      <c r="K60" s="400">
        <f>IF(P60="Research Cost A",J60,0)</f>
        <v>0</v>
      </c>
      <c r="L60" s="400">
        <f>IF(P60="Research Cost B",J60,0)</f>
        <v>0</v>
      </c>
      <c r="M60" s="400">
        <f>IF(P60="Service Support Cost",J60,0)</f>
        <v>0</v>
      </c>
      <c r="N60" s="400">
        <f>IF(P60="Treatment Cost",J60,0)</f>
        <v>0</v>
      </c>
      <c r="O60" s="400">
        <f>IF(P60="Excess Treatment Cost",J60,0)</f>
        <v>0</v>
      </c>
      <c r="P60" s="609"/>
      <c r="Q60" s="412"/>
      <c r="R60" s="412"/>
      <c r="S60" s="417"/>
      <c r="T60" s="417"/>
      <c r="U60" s="417"/>
      <c r="V60" s="417"/>
    </row>
    <row r="61" spans="1:22" ht="14.25" customHeight="1">
      <c r="A61" s="596" t="s">
        <v>2237</v>
      </c>
      <c r="B61" s="591"/>
      <c r="C61" s="591"/>
      <c r="D61" s="591"/>
      <c r="E61" s="591"/>
      <c r="F61" s="591"/>
      <c r="G61" s="591"/>
      <c r="H61" s="762"/>
      <c r="I61" s="759"/>
      <c r="J61" s="778">
        <f>'Set-up and other costs'!$B$18*SUM(B61:I61)</f>
        <v>0</v>
      </c>
      <c r="K61" s="400">
        <f>IF(P61="Research Cost A",J61,0)</f>
        <v>0</v>
      </c>
      <c r="L61" s="400">
        <f>IF(P61="Research Cost B",J61,0)</f>
        <v>0</v>
      </c>
      <c r="M61" s="400">
        <f>IF(P61="Service Support Cost",J61,0)</f>
        <v>0</v>
      </c>
      <c r="N61" s="400">
        <f>IF(P61="Treatment Cost",J61,0)</f>
        <v>0</v>
      </c>
      <c r="O61" s="400">
        <f>IF(P61="Excess Treatment Cost",J61,0)</f>
        <v>0</v>
      </c>
      <c r="P61" s="411"/>
      <c r="Q61" s="412"/>
      <c r="R61" s="412"/>
      <c r="S61" s="417"/>
      <c r="T61" s="417"/>
      <c r="U61" s="417"/>
      <c r="V61" s="417"/>
    </row>
    <row r="62" spans="1:22" ht="14.25" customHeight="1">
      <c r="A62" s="585"/>
      <c r="B62" s="591"/>
      <c r="C62" s="591"/>
      <c r="D62" s="591"/>
      <c r="E62" s="591"/>
      <c r="F62" s="591"/>
      <c r="G62" s="591"/>
      <c r="H62" s="762"/>
      <c r="I62" s="759"/>
      <c r="J62" s="778">
        <f>'Set-up and other costs'!$B$18*SUM(B62:I62)</f>
        <v>0</v>
      </c>
      <c r="K62" s="400">
        <f>IF(P62="Research Cost A",J62,0)</f>
        <v>0</v>
      </c>
      <c r="L62" s="400">
        <f>IF(P62="Research Cost B",J62,0)</f>
        <v>0</v>
      </c>
      <c r="M62" s="400">
        <f>IF(P62="Service Support Cost",J62,0)</f>
        <v>0</v>
      </c>
      <c r="N62" s="400">
        <f>IF(P62="Treatment Cost",J62,0)</f>
        <v>0</v>
      </c>
      <c r="O62" s="400">
        <f>IF(P62="Excess Treatment Cost",J62,0)</f>
        <v>0</v>
      </c>
      <c r="P62" s="411"/>
      <c r="Q62" s="412"/>
      <c r="R62" s="412"/>
      <c r="S62" s="417"/>
      <c r="T62" s="417"/>
      <c r="U62" s="417"/>
      <c r="V62" s="417"/>
    </row>
    <row r="63" spans="1:22" ht="37.5" customHeight="1">
      <c r="A63" s="1050" t="s">
        <v>2429</v>
      </c>
      <c r="B63" s="1051"/>
      <c r="C63" s="1051"/>
      <c r="D63" s="1051"/>
      <c r="E63" s="403"/>
      <c r="F63" s="403"/>
      <c r="G63" s="403"/>
      <c r="H63" s="474"/>
      <c r="I63" s="474"/>
      <c r="J63" s="777"/>
      <c r="K63" s="474"/>
      <c r="L63" s="474"/>
      <c r="M63" s="474"/>
      <c r="N63" s="474"/>
      <c r="O63" s="474"/>
      <c r="P63" s="474"/>
      <c r="Q63" s="412"/>
      <c r="R63" s="412"/>
      <c r="S63" s="417"/>
      <c r="T63" s="417"/>
      <c r="U63" s="417"/>
      <c r="V63" s="417"/>
    </row>
    <row r="64" spans="1:22" ht="63" customHeight="1">
      <c r="A64" s="399" t="s">
        <v>2462</v>
      </c>
      <c r="B64" s="591"/>
      <c r="C64" s="591"/>
      <c r="D64" s="591"/>
      <c r="E64" s="591"/>
      <c r="F64" s="591"/>
      <c r="G64" s="591"/>
      <c r="H64" s="762"/>
      <c r="I64" s="759"/>
      <c r="J64" s="778">
        <f>'Set-up and other costs'!$B$18*SUM(B64:I64)</f>
        <v>0</v>
      </c>
      <c r="K64" s="400">
        <f>IF(P64="Research Cost A",J64,0)</f>
        <v>0</v>
      </c>
      <c r="L64" s="400">
        <f>IF(P64="Research Cost B",J64,0)</f>
        <v>0</v>
      </c>
      <c r="M64" s="400">
        <f>IF(P64="Service Support Cost",J64,0)</f>
        <v>0</v>
      </c>
      <c r="N64" s="400">
        <f>IF(P64="Treatment Cost",J64,0)</f>
        <v>0</v>
      </c>
      <c r="O64" s="400">
        <f>IF(P64="Excess Treatment Cost",J64,0)</f>
        <v>0</v>
      </c>
      <c r="P64" s="411"/>
      <c r="Q64" s="412"/>
      <c r="R64" s="412"/>
      <c r="S64" s="417"/>
      <c r="T64" s="417"/>
      <c r="U64" s="417"/>
      <c r="V64" s="417"/>
    </row>
    <row r="65" spans="1:22" ht="12.75" customHeight="1">
      <c r="A65" s="399" t="s">
        <v>2338</v>
      </c>
      <c r="B65" s="591"/>
      <c r="C65" s="591"/>
      <c r="D65" s="591"/>
      <c r="E65" s="591"/>
      <c r="F65" s="591"/>
      <c r="G65" s="591"/>
      <c r="H65" s="762"/>
      <c r="I65" s="759"/>
      <c r="J65" s="778">
        <f>'Set-up and other costs'!$B$18*SUM(B65:I65)</f>
        <v>0</v>
      </c>
      <c r="K65" s="400">
        <f>IF(P65="Research Cost A",J65,0)</f>
        <v>0</v>
      </c>
      <c r="L65" s="400">
        <f>IF(P65="Research Cost B",J65,0)</f>
        <v>0</v>
      </c>
      <c r="M65" s="400">
        <f>IF(P65="Service Support Cost",J65,0)</f>
        <v>0</v>
      </c>
      <c r="N65" s="400">
        <f>IF(P65="Treatment Cost",J65,0)</f>
        <v>0</v>
      </c>
      <c r="O65" s="400">
        <f>IF(P65="Excess Treatment Cost",J65,0)</f>
        <v>0</v>
      </c>
      <c r="P65" s="411"/>
      <c r="Q65" s="412"/>
      <c r="R65" s="412"/>
      <c r="S65" s="417"/>
      <c r="T65" s="417"/>
      <c r="U65" s="417"/>
      <c r="V65" s="417"/>
    </row>
    <row r="66" spans="1:22" ht="12.75" customHeight="1">
      <c r="A66" s="597"/>
      <c r="B66" s="593"/>
      <c r="C66" s="593"/>
      <c r="D66" s="593"/>
      <c r="E66" s="593"/>
      <c r="F66" s="593"/>
      <c r="G66" s="593"/>
      <c r="H66" s="762"/>
      <c r="I66" s="759"/>
      <c r="J66" s="778">
        <f>'Set-up and other costs'!$B$18*SUM(B66:I66)</f>
        <v>0</v>
      </c>
      <c r="K66" s="400">
        <f>IF(P66="Research Cost A",J66,0)</f>
        <v>0</v>
      </c>
      <c r="L66" s="400">
        <f>IF(P66="Research Cost B",J66,0)</f>
        <v>0</v>
      </c>
      <c r="M66" s="400">
        <f>IF(P66="Service Support Cost",J66,0)</f>
        <v>0</v>
      </c>
      <c r="N66" s="400">
        <f>IF(P66="Treatment Cost",J66,0)</f>
        <v>0</v>
      </c>
      <c r="O66" s="400">
        <f>IF(P66="Excess Treatment Cost",J66,0)</f>
        <v>0</v>
      </c>
      <c r="P66" s="609"/>
      <c r="Q66" s="417"/>
      <c r="R66" s="417"/>
      <c r="S66" s="417"/>
      <c r="T66" s="417"/>
      <c r="U66" s="417"/>
      <c r="V66" s="417"/>
    </row>
    <row r="67" spans="1:22" ht="12.75" customHeight="1">
      <c r="A67" s="597"/>
      <c r="B67" s="396"/>
      <c r="C67" s="396"/>
      <c r="D67" s="396"/>
      <c r="E67" s="396"/>
      <c r="F67" s="396"/>
      <c r="G67" s="396"/>
      <c r="H67" s="762"/>
      <c r="I67" s="759"/>
      <c r="J67" s="778">
        <f>'Set-up and other costs'!$B$18*SUM(B67:I67)</f>
        <v>0</v>
      </c>
      <c r="K67" s="400">
        <f>IF(P67="Research Cost A",J67,0)</f>
        <v>0</v>
      </c>
      <c r="L67" s="400">
        <f>IF(P67="Research Cost B",J67,0)</f>
        <v>0</v>
      </c>
      <c r="M67" s="400">
        <f>IF(P67="Service Support Cost",J67,0)</f>
        <v>0</v>
      </c>
      <c r="N67" s="400">
        <f>IF(P67="Treatment Cost",J67,0)</f>
        <v>0</v>
      </c>
      <c r="O67" s="400">
        <f>IF(P67="Excess Treatment Cost",J67,0)</f>
        <v>0</v>
      </c>
      <c r="P67" s="411"/>
      <c r="Q67" s="417"/>
      <c r="R67" s="417"/>
      <c r="S67" s="417"/>
      <c r="T67" s="417"/>
      <c r="U67" s="417"/>
      <c r="V67" s="417"/>
    </row>
    <row r="68" spans="1:22" ht="12.75" customHeight="1">
      <c r="A68" s="597"/>
      <c r="B68" s="396"/>
      <c r="C68" s="396"/>
      <c r="D68" s="396"/>
      <c r="E68" s="396"/>
      <c r="F68" s="396"/>
      <c r="G68" s="396"/>
      <c r="H68" s="762"/>
      <c r="I68" s="759"/>
      <c r="J68" s="778">
        <f>'Set-up and other costs'!$B$18*SUM(B68:I68)</f>
        <v>0</v>
      </c>
      <c r="K68" s="400">
        <f>IF(P68="Research Cost A",J68,0)</f>
        <v>0</v>
      </c>
      <c r="L68" s="400">
        <f>IF(P68="Research Cost B",J68,0)</f>
        <v>0</v>
      </c>
      <c r="M68" s="400">
        <f>IF(P68="Service Support Cost",J68,0)</f>
        <v>0</v>
      </c>
      <c r="N68" s="400">
        <f>IF(P68="Treatment Cost",J68,0)</f>
        <v>0</v>
      </c>
      <c r="O68" s="400">
        <f>IF(P68="Excess Treatment Cost",J68,0)</f>
        <v>0</v>
      </c>
      <c r="P68" s="411"/>
      <c r="Q68" s="417"/>
      <c r="R68" s="417"/>
      <c r="S68" s="417"/>
      <c r="T68" s="417"/>
      <c r="U68" s="417"/>
      <c r="V68" s="417"/>
    </row>
    <row r="69" spans="1:22" ht="12.75" customHeight="1">
      <c r="A69" s="597"/>
      <c r="B69" s="396"/>
      <c r="C69" s="396"/>
      <c r="D69" s="396"/>
      <c r="E69" s="396"/>
      <c r="F69" s="396"/>
      <c r="G69" s="594"/>
      <c r="H69" s="762"/>
      <c r="I69" s="759"/>
      <c r="J69" s="778">
        <f>'Set-up and other costs'!$B$18*SUM(B69:I69)</f>
        <v>0</v>
      </c>
      <c r="K69" s="400">
        <f>IF(P69="Research Cost A",J69,0)</f>
        <v>0</v>
      </c>
      <c r="L69" s="400">
        <f>IF(P69="Research Cost B",J69,0)</f>
        <v>0</v>
      </c>
      <c r="M69" s="400">
        <f>IF(P69="Service Support Cost",J69,0)</f>
        <v>0</v>
      </c>
      <c r="N69" s="400">
        <f>IF(P69="Treatment Cost",J69,0)</f>
        <v>0</v>
      </c>
      <c r="O69" s="400">
        <f>IF(P69="Excess Treatment Cost",J69,0)</f>
        <v>0</v>
      </c>
      <c r="P69" s="411"/>
      <c r="Q69" s="417"/>
      <c r="R69" s="417"/>
      <c r="S69" s="417"/>
      <c r="T69" s="417"/>
      <c r="U69" s="417"/>
      <c r="V69" s="417"/>
    </row>
    <row r="70" spans="1:22" ht="12.75" customHeight="1">
      <c r="A70" s="597"/>
      <c r="B70" s="598"/>
      <c r="C70" s="396"/>
      <c r="D70" s="396"/>
      <c r="E70" s="396"/>
      <c r="F70" s="554"/>
      <c r="G70" s="591"/>
      <c r="H70" s="762"/>
      <c r="I70" s="759"/>
      <c r="J70" s="778">
        <f>'Set-up and other costs'!$B$18*SUM(B70:I70)</f>
        <v>0</v>
      </c>
      <c r="K70" s="400">
        <f>IF(P70="Research Cost A",J70,0)</f>
        <v>0</v>
      </c>
      <c r="L70" s="400">
        <f>IF(P70="Research Cost B",J70,0)</f>
        <v>0</v>
      </c>
      <c r="M70" s="400">
        <f>IF(P70="Service Support Cost",J70,0)</f>
        <v>0</v>
      </c>
      <c r="N70" s="400">
        <f>IF(P70="Treatment Cost",J70,0)</f>
        <v>0</v>
      </c>
      <c r="O70" s="400">
        <f>IF(P70="Excess Treatment Cost",J70,0)</f>
        <v>0</v>
      </c>
      <c r="P70" s="411"/>
      <c r="Q70" s="417"/>
      <c r="R70" s="417"/>
      <c r="S70" s="417"/>
      <c r="T70" s="417"/>
      <c r="U70" s="417"/>
      <c r="V70" s="417"/>
    </row>
    <row r="71" spans="1:22" ht="12.75" customHeight="1">
      <c r="A71" s="587"/>
      <c r="B71" s="396"/>
      <c r="C71" s="396"/>
      <c r="D71" s="396"/>
      <c r="E71" s="396"/>
      <c r="F71" s="554"/>
      <c r="G71" s="591"/>
      <c r="H71" s="762"/>
      <c r="I71" s="759"/>
      <c r="J71" s="778">
        <f>'Set-up and other costs'!$B$18*SUM(B71:I71)</f>
        <v>0</v>
      </c>
      <c r="K71" s="400">
        <f>IF(P71="Research Cost A",J71,0)</f>
        <v>0</v>
      </c>
      <c r="L71" s="400">
        <f>IF(P71="Research Cost B",J71,0)</f>
        <v>0</v>
      </c>
      <c r="M71" s="400">
        <f>IF(P71="Service Support Cost",J71,0)</f>
        <v>0</v>
      </c>
      <c r="N71" s="400">
        <f>IF(P71="Treatment Cost",J71,0)</f>
        <v>0</v>
      </c>
      <c r="O71" s="400">
        <f>IF(P71="Excess Treatment Cost",J71,0)</f>
        <v>0</v>
      </c>
      <c r="P71" s="411"/>
      <c r="Q71" s="417"/>
      <c r="R71" s="417"/>
      <c r="S71" s="417"/>
      <c r="T71" s="417"/>
      <c r="U71" s="417"/>
      <c r="V71" s="417"/>
    </row>
    <row r="72" spans="1:16">
      <c r="A72" s="781"/>
      <c r="B72" s="781"/>
      <c r="C72" s="781"/>
      <c r="D72" s="781"/>
      <c r="E72" s="781"/>
      <c r="F72" s="781"/>
      <c r="G72" s="781"/>
      <c r="H72" s="781"/>
      <c r="I72" s="781"/>
      <c r="J72" s="781"/>
      <c r="K72" s="781"/>
      <c r="L72" s="781"/>
      <c r="M72" s="781"/>
      <c r="N72" s="781"/>
      <c r="O72" s="781"/>
      <c r="P72" s="781"/>
    </row>
    <row r="73" spans="1:16" ht="13">
      <c r="A73" s="782" t="s">
        <v>2336</v>
      </c>
      <c r="B73" s="781"/>
      <c r="C73" s="781"/>
      <c r="D73" s="781"/>
      <c r="E73" s="781"/>
      <c r="F73" s="781"/>
      <c r="G73" s="781"/>
      <c r="H73" s="781"/>
      <c r="I73" s="781"/>
      <c r="J73" s="781"/>
      <c r="K73" s="781"/>
      <c r="L73" s="781"/>
      <c r="M73" s="781"/>
      <c r="N73" s="781"/>
      <c r="O73" s="781"/>
      <c r="P73" s="781"/>
    </row>
    <row r="74" spans="1:3" ht="13">
      <c r="A74" s="786" t="s">
        <v>2312</v>
      </c>
      <c r="B74" s="787" t="s">
        <v>2313</v>
      </c>
      <c r="C74" s="803" t="s">
        <v>2449</v>
      </c>
    </row>
    <row r="75" spans="1:3">
      <c r="A75" s="785"/>
      <c r="B75" s="783"/>
      <c r="C75" s="804" t="s">
        <v>2427</v>
      </c>
    </row>
    <row r="76" spans="1:3">
      <c r="A76" s="785"/>
      <c r="B76" s="783"/>
      <c r="C76" s="783"/>
    </row>
    <row r="77" spans="1:3">
      <c r="A77" s="785"/>
      <c r="B77" s="783"/>
      <c r="C77" s="783"/>
    </row>
    <row r="78" spans="1:3">
      <c r="A78" s="785"/>
      <c r="B78" s="783"/>
      <c r="C78" s="783"/>
    </row>
    <row r="79" spans="1:3">
      <c r="A79" s="785"/>
      <c r="B79" s="783"/>
      <c r="C79" s="783"/>
    </row>
    <row r="80" spans="1:3">
      <c r="A80" s="785"/>
      <c r="B80" s="783"/>
      <c r="C80" s="783"/>
    </row>
    <row r="81" spans="1:3">
      <c r="A81" s="785"/>
      <c r="B81" s="783"/>
      <c r="C81" s="783"/>
    </row>
    <row r="82" spans="1:3">
      <c r="A82" s="785"/>
      <c r="B82" s="783"/>
      <c r="C82" s="783"/>
    </row>
    <row r="83" spans="1:3">
      <c r="A83" s="785"/>
      <c r="B83" s="783"/>
      <c r="C83" s="783"/>
    </row>
    <row r="84" spans="1:3">
      <c r="A84" s="785"/>
      <c r="B84" s="783"/>
      <c r="C84" s="783"/>
    </row>
    <row r="85" spans="1:3">
      <c r="A85" s="785"/>
      <c r="B85" s="783"/>
      <c r="C85" s="783"/>
    </row>
    <row r="86" spans="1:3">
      <c r="A86" s="785"/>
      <c r="B86" s="783"/>
      <c r="C86" s="783"/>
    </row>
    <row r="87" spans="1:3">
      <c r="A87" s="785"/>
      <c r="B87" s="783"/>
      <c r="C87" s="783"/>
    </row>
    <row r="88" spans="1:3">
      <c r="A88" s="785"/>
      <c r="B88" s="783"/>
      <c r="C88" s="783"/>
    </row>
    <row r="89" spans="1:3">
      <c r="A89" s="785"/>
      <c r="B89" s="783"/>
      <c r="C89" s="783"/>
    </row>
    <row r="90" spans="1:3">
      <c r="A90" s="785"/>
      <c r="B90" s="783"/>
      <c r="C90" s="783"/>
    </row>
    <row r="91" spans="1:3">
      <c r="A91" s="785"/>
      <c r="B91" s="783"/>
      <c r="C91" s="783"/>
    </row>
    <row r="92" spans="1:3">
      <c r="A92" s="785"/>
      <c r="B92" s="783"/>
      <c r="C92" s="783"/>
    </row>
    <row r="93" spans="1:3">
      <c r="A93" s="785"/>
      <c r="B93" s="783"/>
      <c r="C93" s="783"/>
    </row>
    <row r="94" spans="1:3">
      <c r="A94" s="785"/>
      <c r="B94" s="783"/>
      <c r="C94" s="783"/>
    </row>
    <row r="95" spans="1:3">
      <c r="A95" s="785"/>
      <c r="B95" s="783"/>
      <c r="C95" s="783"/>
    </row>
    <row r="96" spans="1:3">
      <c r="A96" s="785"/>
      <c r="B96" s="783"/>
      <c r="C96" s="783"/>
    </row>
    <row r="97" spans="1:3">
      <c r="A97" s="785"/>
      <c r="B97" s="783"/>
      <c r="C97" s="783"/>
    </row>
    <row r="98" spans="1:3">
      <c r="A98" s="785"/>
      <c r="B98" s="783"/>
      <c r="C98" s="783"/>
    </row>
    <row r="99" spans="1:3">
      <c r="A99" s="785"/>
      <c r="B99" s="783"/>
      <c r="C99" s="783"/>
    </row>
    <row r="100" spans="1:3">
      <c r="A100" s="785"/>
      <c r="B100" s="783"/>
      <c r="C100" s="783"/>
    </row>
    <row r="101" spans="1:3">
      <c r="A101" s="785"/>
      <c r="B101" s="783"/>
      <c r="C101" s="783"/>
    </row>
    <row r="102" spans="1:2">
      <c r="A102" s="785"/>
      <c r="B102" s="783"/>
    </row>
  </sheetData>
  <mergeCells count="13">
    <mergeCell ref="A63:D63"/>
    <mergeCell ref="B31:G31"/>
    <mergeCell ref="B30:G30"/>
    <mergeCell ref="B40:G40"/>
    <mergeCell ref="B39:G39"/>
    <mergeCell ref="B38:G38"/>
    <mergeCell ref="B37:G37"/>
    <mergeCell ref="B36:G36"/>
    <mergeCell ref="B35:G35"/>
    <mergeCell ref="B34:G34"/>
    <mergeCell ref="B33:G33"/>
    <mergeCell ref="B32:G32"/>
    <mergeCell ref="B43:C43"/>
  </mergeCells>
  <dataValidations count="1">
    <dataValidation type="list" allowBlank="1" showInputMessage="1" showErrorMessage="1" sqref="P46:P50 P13:P18 P3:P9 P31:P40 P64:P71 P58:P62 P52:P56 P22:P26">
      <formula1>"Research Cost A, Research Cost B, Service Support Cost, Treatment Cost, Excess Treatment Cost"</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rgb="FFFF0000"/>
  </sheetPr>
  <dimension ref="A1:BX97"/>
  <sheetViews>
    <sheetView topLeftCell="A1" zoomScale="60" view="normal" workbookViewId="0">
      <pane xSplit="1" ySplit="6" topLeftCell="B7" activePane="bottomRight" state="frozen"/>
      <selection pane="bottomRight" activeCell="E12" sqref="E12"/>
    </sheetView>
  </sheetViews>
  <sheetFormatPr defaultColWidth="9.1796875" defaultRowHeight="13"/>
  <cols>
    <col min="1" max="1" width="46.5703125" style="183" customWidth="1"/>
    <col min="2" max="2" width="21.84765625" style="183" customWidth="1"/>
    <col min="3" max="3" width="19.7109375" style="183" customWidth="1"/>
    <col min="4" max="4" width="11.7109375" style="183" customWidth="1"/>
    <col min="5" max="5" width="11.27734375" style="183" customWidth="1"/>
    <col min="6" max="6" width="10.84765625" style="183" customWidth="1"/>
    <col min="7" max="7" width="18.140625" style="183" customWidth="1"/>
    <col min="8" max="8" width="13.84765625" style="183" customWidth="1"/>
    <col min="9" max="42" width="11.27734375" style="183" customWidth="1"/>
    <col min="43" max="43" width="6" style="183" bestFit="1" customWidth="1"/>
    <col min="44" max="44" width="15.27734375" style="183" customWidth="1"/>
    <col min="45" max="47" width="12.84765625" style="183" customWidth="1"/>
    <col min="48" max="48" width="12.41796875" style="183" customWidth="1"/>
    <col min="49" max="49" width="10.84765625" style="183" customWidth="1"/>
    <col min="50" max="53" width="9.140625" style="183" customWidth="1"/>
    <col min="54" max="68" width="9.140625" style="183" hidden="1" customWidth="1"/>
    <col min="69" max="69" width="11.41796875" style="183" hidden="1" customWidth="1"/>
    <col min="70" max="72" width="9.140625" style="183" hidden="1" customWidth="1"/>
    <col min="73" max="73" width="14.84765625" style="183" hidden="1" customWidth="1"/>
    <col min="74" max="76" width="9.140625" style="183" hidden="1" customWidth="1"/>
    <col min="77" max="16384" width="9.140625" style="183" customWidth="1"/>
  </cols>
  <sheetData>
    <row r="1" spans="1:2" ht="26.25" customHeight="1">
      <c r="A1" s="700" t="s">
        <v>52</v>
      </c>
      <c r="B1" s="701">
        <f>AU46+AU81</f>
        <v>0</v>
      </c>
    </row>
    <row r="2" spans="1:2" ht="20.25" customHeight="1">
      <c r="A2" s="702" t="s">
        <v>45</v>
      </c>
      <c r="B2" s="504">
        <f>H91</f>
        <v>0</v>
      </c>
    </row>
    <row r="3" spans="1:33" ht="27" customHeight="1">
      <c r="A3" s="703" t="s">
        <v>2289</v>
      </c>
      <c r="B3" s="704">
        <f>SUMIFS(AU7:AU45,B7:B45,"Research Cost A")+SUMIFS(AU55:AU81,B55:B81,"Research Cost A")+SUMIFS(AU7:AU45,B7:B45,"Research Cost B")+SUMIFS(AU55:AU81,B55:B81,"Research Cost B")</f>
        <v>0</v>
      </c>
      <c r="D3" s="185"/>
      <c r="E3" s="185"/>
      <c r="F3" s="185"/>
      <c r="G3" s="186"/>
      <c r="H3" s="185"/>
      <c r="I3" s="185"/>
      <c r="J3" s="185"/>
      <c r="M3" s="185"/>
      <c r="N3" s="185"/>
      <c r="AF3" s="185"/>
      <c r="AG3" s="185"/>
    </row>
    <row r="4" spans="1:53" ht="28.5" customHeight="1">
      <c r="A4" s="503" t="b">
        <f>B1=AR91</f>
        <v>1</v>
      </c>
      <c r="B4" s="187"/>
      <c r="C4" s="185"/>
      <c r="D4" s="185"/>
      <c r="E4" s="185"/>
      <c r="F4" s="185"/>
      <c r="G4" s="188"/>
      <c r="BA4" s="430"/>
    </row>
    <row r="5" spans="1:53" ht="31">
      <c r="A5" s="187" t="s">
        <v>23</v>
      </c>
      <c r="C5" s="429"/>
      <c r="D5" s="429"/>
      <c r="E5" s="429"/>
      <c r="F5" s="429"/>
      <c r="H5" s="314" t="s">
        <v>2148</v>
      </c>
      <c r="I5" s="314" t="s">
        <v>2132</v>
      </c>
      <c r="J5" s="314" t="s">
        <v>2133</v>
      </c>
      <c r="K5" s="314" t="s">
        <v>2143</v>
      </c>
      <c r="L5" s="314" t="s">
        <v>2144</v>
      </c>
      <c r="M5" s="314" t="s">
        <v>2145</v>
      </c>
      <c r="N5" s="314" t="s">
        <v>2146</v>
      </c>
      <c r="O5" s="314" t="s">
        <v>2147</v>
      </c>
      <c r="P5" s="314" t="s">
        <v>1942</v>
      </c>
      <c r="Q5" s="314" t="s">
        <v>1943</v>
      </c>
      <c r="R5" s="314" t="s">
        <v>1944</v>
      </c>
      <c r="S5" s="314" t="s">
        <v>2099</v>
      </c>
      <c r="T5" s="314" t="s">
        <v>2100</v>
      </c>
      <c r="U5" s="314" t="s">
        <v>2101</v>
      </c>
      <c r="V5" s="314" t="s">
        <v>2102</v>
      </c>
      <c r="W5" s="314" t="s">
        <v>2103</v>
      </c>
      <c r="X5" s="314" t="s">
        <v>2104</v>
      </c>
      <c r="Y5" s="314" t="s">
        <v>2105</v>
      </c>
      <c r="Z5" s="314" t="s">
        <v>2106</v>
      </c>
      <c r="AA5" s="314" t="s">
        <v>2107</v>
      </c>
      <c r="AB5" s="314" t="s">
        <v>2108</v>
      </c>
      <c r="AC5" s="314" t="s">
        <v>2109</v>
      </c>
      <c r="AD5" s="314" t="s">
        <v>2110</v>
      </c>
      <c r="AE5" s="314" t="s">
        <v>2111</v>
      </c>
      <c r="AF5" s="314" t="s">
        <v>2112</v>
      </c>
      <c r="AG5" s="314" t="s">
        <v>2113</v>
      </c>
      <c r="AH5" s="314" t="s">
        <v>2114</v>
      </c>
      <c r="AI5" s="314" t="s">
        <v>2115</v>
      </c>
      <c r="AJ5" s="314" t="s">
        <v>2116</v>
      </c>
      <c r="AK5" s="314" t="s">
        <v>2117</v>
      </c>
      <c r="AL5" s="314" t="s">
        <v>2118</v>
      </c>
      <c r="AM5" s="314"/>
      <c r="AN5" s="314"/>
      <c r="AO5" s="314"/>
      <c r="AP5" s="314"/>
      <c r="AQ5" s="436"/>
      <c r="AU5" s="705" t="s">
        <v>2290</v>
      </c>
      <c r="BA5" s="349"/>
    </row>
    <row r="6" spans="1:72" s="430" customFormat="1" ht="39">
      <c r="A6" s="451" t="s">
        <v>0</v>
      </c>
      <c r="B6" s="428" t="s">
        <v>2058</v>
      </c>
      <c r="C6" s="428" t="s">
        <v>1968</v>
      </c>
      <c r="D6" s="428" t="s">
        <v>1969</v>
      </c>
      <c r="E6" s="428" t="s">
        <v>9</v>
      </c>
      <c r="F6" s="428" t="s">
        <v>8</v>
      </c>
      <c r="G6" s="470" t="s">
        <v>2</v>
      </c>
      <c r="H6" s="428" t="s">
        <v>58</v>
      </c>
      <c r="I6" s="428" t="s">
        <v>56</v>
      </c>
      <c r="J6" s="428" t="s">
        <v>15</v>
      </c>
      <c r="K6" s="428" t="s">
        <v>16</v>
      </c>
      <c r="L6" s="428" t="s">
        <v>57</v>
      </c>
      <c r="M6" s="428" t="s">
        <v>17</v>
      </c>
      <c r="N6" s="428" t="s">
        <v>18</v>
      </c>
      <c r="O6" s="428" t="s">
        <v>39</v>
      </c>
      <c r="P6" s="428" t="s">
        <v>61</v>
      </c>
      <c r="Q6" s="428" t="s">
        <v>1860</v>
      </c>
      <c r="R6" s="428" t="s">
        <v>1861</v>
      </c>
      <c r="S6" s="428" t="s">
        <v>1862</v>
      </c>
      <c r="T6" s="428" t="s">
        <v>1863</v>
      </c>
      <c r="U6" s="428" t="s">
        <v>1864</v>
      </c>
      <c r="V6" s="428" t="s">
        <v>1865</v>
      </c>
      <c r="W6" s="428" t="s">
        <v>1866</v>
      </c>
      <c r="X6" s="428" t="s">
        <v>1867</v>
      </c>
      <c r="Y6" s="428" t="s">
        <v>1868</v>
      </c>
      <c r="Z6" s="428" t="s">
        <v>1869</v>
      </c>
      <c r="AA6" s="428" t="s">
        <v>1870</v>
      </c>
      <c r="AB6" s="428" t="s">
        <v>1902</v>
      </c>
      <c r="AC6" s="428" t="s">
        <v>1903</v>
      </c>
      <c r="AD6" s="428" t="s">
        <v>1904</v>
      </c>
      <c r="AE6" s="428" t="s">
        <v>1948</v>
      </c>
      <c r="AF6" s="428" t="s">
        <v>1949</v>
      </c>
      <c r="AG6" s="428" t="s">
        <v>1950</v>
      </c>
      <c r="AH6" s="428" t="s">
        <v>1951</v>
      </c>
      <c r="AI6" s="428" t="s">
        <v>1952</v>
      </c>
      <c r="AJ6" s="428" t="s">
        <v>1953</v>
      </c>
      <c r="AK6" s="428" t="s">
        <v>1954</v>
      </c>
      <c r="AL6" s="428" t="s">
        <v>1955</v>
      </c>
      <c r="AM6" s="428" t="s">
        <v>1956</v>
      </c>
      <c r="AN6" s="428" t="s">
        <v>1957</v>
      </c>
      <c r="AO6" s="428" t="s">
        <v>1958</v>
      </c>
      <c r="AP6" s="428" t="s">
        <v>1959</v>
      </c>
      <c r="AQ6" s="424"/>
      <c r="AR6" s="434" t="s">
        <v>3</v>
      </c>
      <c r="AS6" s="428" t="s">
        <v>5</v>
      </c>
      <c r="AT6" s="428" t="s">
        <v>1852</v>
      </c>
      <c r="AU6" s="428" t="s">
        <v>2249</v>
      </c>
      <c r="AV6" s="183"/>
      <c r="BA6" s="349"/>
      <c r="BC6" s="428" t="s">
        <v>3</v>
      </c>
      <c r="BD6" s="428" t="s">
        <v>5</v>
      </c>
      <c r="BE6" s="428" t="s">
        <v>1852</v>
      </c>
      <c r="BF6" s="428" t="s">
        <v>4</v>
      </c>
      <c r="BG6" s="430" t="s">
        <v>1983</v>
      </c>
      <c r="BH6" s="430" t="s">
        <v>2020</v>
      </c>
      <c r="BI6" s="430" t="s">
        <v>2021</v>
      </c>
      <c r="BJ6" s="430" t="s">
        <v>1984</v>
      </c>
      <c r="BL6" s="430" t="s">
        <v>1968</v>
      </c>
      <c r="BM6" s="430" t="s">
        <v>1969</v>
      </c>
      <c r="BN6" s="430" t="s">
        <v>9</v>
      </c>
      <c r="BO6" s="430" t="s">
        <v>8</v>
      </c>
      <c r="BQ6" s="430" t="s">
        <v>1968</v>
      </c>
      <c r="BR6" s="430" t="s">
        <v>1969</v>
      </c>
      <c r="BS6" s="430" t="s">
        <v>9</v>
      </c>
      <c r="BT6" s="430" t="s">
        <v>8</v>
      </c>
    </row>
    <row r="7" spans="1:75">
      <c r="A7" s="8"/>
      <c r="B7" s="8" t="s">
        <v>2012</v>
      </c>
      <c r="C7" s="181"/>
      <c r="D7" s="181"/>
      <c r="E7" s="181"/>
      <c r="F7" s="181"/>
      <c r="G7" s="530">
        <f>IF(ISERROR((C7*'Study Information &amp; rates'!$B$101+D7*'Study Information &amp; rates'!$C$101+E7*'Study Information &amp; rates'!$D$101+F7*'Study Information &amp; rates'!$F$101)),0,(C7*'Study Information &amp; rates'!$B$101+D7*'Study Information &amp; rates'!$C$101+E7*'Study Information &amp; rates'!$D$101+F7*'Study Information &amp; rates'!$F$101))</f>
        <v>0</v>
      </c>
      <c r="H7" s="8"/>
      <c r="I7" s="8"/>
      <c r="J7" s="8"/>
      <c r="K7" s="8"/>
      <c r="L7" s="8"/>
      <c r="M7" s="8"/>
      <c r="N7" s="8"/>
      <c r="O7" s="319"/>
      <c r="P7" s="319"/>
      <c r="Q7" s="319"/>
      <c r="R7" s="319"/>
      <c r="S7" s="319"/>
      <c r="T7" s="319"/>
      <c r="U7" s="319"/>
      <c r="V7" s="319"/>
      <c r="W7" s="319"/>
      <c r="X7" s="317"/>
      <c r="Y7" s="312"/>
      <c r="Z7" s="312"/>
      <c r="AA7" s="312"/>
      <c r="AB7" s="312"/>
      <c r="AC7" s="8"/>
      <c r="AD7" s="8"/>
      <c r="AE7" s="8"/>
      <c r="AF7" s="8"/>
      <c r="AG7" s="8"/>
      <c r="AH7" s="8"/>
      <c r="AI7" s="8"/>
      <c r="AJ7" s="8"/>
      <c r="AK7" s="8"/>
      <c r="AL7" s="8"/>
      <c r="AM7" s="8"/>
      <c r="AN7" s="8"/>
      <c r="AO7" s="8"/>
      <c r="AP7" s="454"/>
      <c r="AQ7" s="422"/>
      <c r="AR7" s="536">
        <f>(SUM(H7:AP7))*G7</f>
        <v>0</v>
      </c>
      <c r="AS7" s="438">
        <f>IF('Study Information &amp; rates'!$B$43="Yes",AR7*0.287,0)</f>
        <v>0</v>
      </c>
      <c r="AT7" s="438">
        <f>IF('Study Information &amp; rates'!$B$43="No",0,AR7*0.05)</f>
        <v>0</v>
      </c>
      <c r="AU7" s="438">
        <f>IF('Study Information &amp; rates'!$B$44="No",AR7+AS7+AT7,'Set-up and other costs'!$B$18*(AR7+AS7+AT7))</f>
        <v>0</v>
      </c>
      <c r="BA7" s="349"/>
      <c r="BC7" s="447">
        <f>H7*G7</f>
        <v>0</v>
      </c>
      <c r="BD7" s="447">
        <f>IF('Study Information &amp; rates'!$B$43='Study Information &amp; rates'!$V$12,BC7*0.287,0)</f>
        <v>0</v>
      </c>
      <c r="BE7" s="447">
        <f>IF((Reconciliation!$C$15)&gt;5000,BC7*0.05,0)</f>
        <v>0</v>
      </c>
      <c r="BF7" s="447">
        <f>BC7+BD7+BE7</f>
        <v>0</v>
      </c>
      <c r="BG7" s="183" t="b">
        <f>IF($B7='Look Up'!$A$5,$H7)</f>
        <v>0</v>
      </c>
      <c r="BH7" s="183">
        <f>IF($B7='Look Up'!$A$6,$H7)</f>
        <v>0</v>
      </c>
      <c r="BI7" s="183" t="b">
        <f>IF($B7='Look Up'!$A$7,$H7)</f>
        <v>0</v>
      </c>
      <c r="BJ7" s="183" t="b">
        <f>IF($B7='Look Up'!$A$7,$H7)</f>
        <v>0</v>
      </c>
      <c r="BL7" s="183">
        <f>IF($B7='Look Up'!$A$6,$C7*$H7,0)+IF($B7='Look Up'!$A$7,$C7*$H7,0)</f>
        <v>0</v>
      </c>
      <c r="BM7" s="183">
        <f>IF($B7='Look Up'!$A$6,$D7*$H7,0)+IF($B7='Look Up'!$A$7,$D7*$H7,0)</f>
        <v>0</v>
      </c>
      <c r="BN7" s="183">
        <f>IF($B7='Look Up'!$A$6,$E7*$H7,0)+IF($B7='Look Up'!$A$7,$E7*$H7,0)</f>
        <v>0</v>
      </c>
      <c r="BO7" s="183">
        <f>IF($B7='Look Up'!$A$6,$F7*$H7,0)+IF($B7='Look Up'!$A$7,$F7*$H7,0)</f>
        <v>0</v>
      </c>
      <c r="BQ7" s="468">
        <f>$C7*'Study Information &amp; rates'!$B$101*IF('Study Information &amp; rates'!$B$43='Study Information &amp; rates'!$V$12,(SUM($H7:$AP7)*1.287),(SUM($H7:$AP7)))</f>
        <v>0</v>
      </c>
      <c r="BR7" s="468">
        <f>$D7*'Study Information &amp; rates'!$C$101*IF('Study Information &amp; rates'!$B$43='Study Information &amp; rates'!$V$12,(SUM($H7:$AP7)*1.287),(SUM($H7:$AP7)))</f>
        <v>0</v>
      </c>
      <c r="BS7" s="468">
        <f>$E7*'Study Information &amp; rates'!$D$101*IF('Study Information &amp; rates'!$B$43='Study Information &amp; rates'!$V$12,(SUM($H7:$AP7)*1.287),(SUM($H7:$AP7)))</f>
        <v>0</v>
      </c>
      <c r="BT7" s="468">
        <f>$F7*'Study Information &amp; rates'!$F$101*IF('Study Information &amp; rates'!$B$43='Study Information &amp; rates'!$V$12,(SUM($H7:$AP7)*1.287),(SUM($H7:$AP7)))</f>
        <v>0</v>
      </c>
      <c r="BU7" s="469">
        <f>AR7+AS7</f>
        <v>0</v>
      </c>
      <c r="BW7" s="183">
        <f>SUM(H7:AP7)</f>
        <v>0</v>
      </c>
    </row>
    <row r="8" spans="1:75">
      <c r="A8" s="8"/>
      <c r="B8" s="8" t="s">
        <v>2012</v>
      </c>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454"/>
      <c r="AQ8" s="422"/>
      <c r="AR8" s="536">
        <f>(SUM(H8:AP8))*G8</f>
        <v>0</v>
      </c>
      <c r="AS8" s="438">
        <f>IF('Study Information &amp; rates'!$B$43="Yes",AR8*0.287,0)</f>
        <v>0</v>
      </c>
      <c r="AT8" s="438">
        <f>IF('Study Information &amp; rates'!$B$43="No",0,AR8*0.05)</f>
        <v>0</v>
      </c>
      <c r="AU8" s="438">
        <f>IF('Study Information &amp; rates'!$B$44="No",AR8+AS8+AT8,'Set-up and other costs'!$B$18*(AR8+AS8+AT8))</f>
        <v>0</v>
      </c>
      <c r="AW8" s="469"/>
      <c r="BA8" s="349"/>
      <c r="BC8" s="447">
        <f>H8*G8</f>
        <v>0</v>
      </c>
      <c r="BD8" s="447">
        <f>IF('Study Information &amp; rates'!$B$43='Study Information &amp; rates'!$V$12,BC8*0.287,0)</f>
        <v>0</v>
      </c>
      <c r="BE8" s="447">
        <f>IF((Reconciliation!$C$15)&gt;5000,BC8*0.05,0)</f>
        <v>0</v>
      </c>
      <c r="BF8" s="447">
        <f>BC8+BD8+BE8</f>
        <v>0</v>
      </c>
      <c r="BG8" s="183" t="b">
        <f>IF($B8='Look Up'!$A$5,$H8)</f>
        <v>0</v>
      </c>
      <c r="BH8" s="183">
        <f>IF($B8='Look Up'!$A$6,$H8)</f>
        <v>0</v>
      </c>
      <c r="BI8" s="183" t="b">
        <f>IF($B8='Look Up'!$A$7,$H8)</f>
        <v>0</v>
      </c>
      <c r="BJ8" s="183" t="b">
        <f>IF($B8='Look Up'!$A$7,$H8)</f>
        <v>0</v>
      </c>
      <c r="BL8" s="183">
        <f>IF($B8='Look Up'!$A$6,$C8*$H8,0)+IF($B8='Look Up'!$A$7,$C8*$H8,0)</f>
        <v>0</v>
      </c>
      <c r="BM8" s="183">
        <f>IF($B8='Look Up'!$A$6,$D8*$H8,0)+IF($B8='Look Up'!$A$7,$D8*$H8,0)</f>
        <v>0</v>
      </c>
      <c r="BN8" s="183">
        <f>IF($B8='Look Up'!$A$6,$E8*$H8,0)+IF($B8='Look Up'!$A$7,$E8*$H8,0)</f>
        <v>0</v>
      </c>
      <c r="BO8" s="183">
        <f>IF($B8='Look Up'!$A$6,$F8*$H8,0)+IF($B8='Look Up'!$A$7,$F8*$H8,0)</f>
        <v>0</v>
      </c>
      <c r="BQ8" s="468">
        <f>$C8*'Study Information &amp; rates'!$B$101*IF('Study Information &amp; rates'!$B$43='Study Information &amp; rates'!$V$12,(SUM($H8:$AP8)*1.287),(SUM($H8:$AP8)))</f>
        <v>0</v>
      </c>
      <c r="BR8" s="468">
        <f>$D8*'Study Information &amp; rates'!$C$101*IF('Study Information &amp; rates'!$B$43='Study Information &amp; rates'!$V$12,(SUM($H8:$AP8)*1.287),(SUM($H8:$AP8)))</f>
        <v>0</v>
      </c>
      <c r="BS8" s="468">
        <f>$E8*'Study Information &amp; rates'!$D$101*IF('Study Information &amp; rates'!$B$43='Study Information &amp; rates'!$V$12,(SUM($H8:$AP8)*1.287),(SUM($H8:$AP8)))</f>
        <v>0</v>
      </c>
      <c r="BT8" s="468">
        <f>$F8*'Study Information &amp; rates'!$F$101*IF('Study Information &amp; rates'!$B$43='Study Information &amp; rates'!$V$12,(SUM($H8:$AP8)*1.287),(SUM($H8:$AP8)))</f>
        <v>0</v>
      </c>
      <c r="BU8" s="469">
        <f>AR8+AS8</f>
        <v>0</v>
      </c>
      <c r="BW8" s="183">
        <f>SUM(H8:AP8)</f>
        <v>0</v>
      </c>
    </row>
    <row r="9" spans="1:75">
      <c r="A9" s="8"/>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454"/>
      <c r="AQ9" s="422"/>
      <c r="AR9" s="536">
        <f>(SUM(H9:AP9))*G9</f>
        <v>0</v>
      </c>
      <c r="AS9" s="438">
        <f>IF('Study Information &amp; rates'!$B$43="Yes",AR9*0.287,0)</f>
        <v>0</v>
      </c>
      <c r="AT9" s="438">
        <f>IF('Study Information &amp; rates'!$B$43="No",0,AR9*0.05)</f>
        <v>0</v>
      </c>
      <c r="AU9" s="438">
        <f>IF('Study Information &amp; rates'!$B$44="No",AR9+AS9+AT9,'Set-up and other costs'!$B$18*(AR9+AS9+AT9))</f>
        <v>0</v>
      </c>
      <c r="AW9" s="469"/>
      <c r="BC9" s="447">
        <f>H9*G9</f>
        <v>0</v>
      </c>
      <c r="BD9" s="447">
        <f>IF('Study Information &amp; rates'!$B$43='Study Information &amp; rates'!$V$12,BC9*0.287,0)</f>
        <v>0</v>
      </c>
      <c r="BE9" s="447">
        <f>IF((Reconciliation!$C$15)&gt;5000,BC9*0.05,0)</f>
        <v>0</v>
      </c>
      <c r="BF9" s="447">
        <f>BC9+BD9+BE9</f>
        <v>0</v>
      </c>
      <c r="BG9" s="183" t="b">
        <f>IF($B9='Look Up'!$A$5,$H9)</f>
        <v>0</v>
      </c>
      <c r="BH9" s="183" t="b">
        <f>IF($B9='Look Up'!$A$6,$H9)</f>
        <v>0</v>
      </c>
      <c r="BI9" s="183" t="b">
        <f>IF($B9='Look Up'!$A$7,$H9)</f>
        <v>0</v>
      </c>
      <c r="BJ9" s="183" t="b">
        <f>IF($B9='Look Up'!$A$7,$H9)</f>
        <v>0</v>
      </c>
      <c r="BL9" s="183">
        <f>IF($B9='Look Up'!$A$6,$C9*$H9,0)+IF($B9='Look Up'!$A$7,$C9*$H9,0)</f>
        <v>0</v>
      </c>
      <c r="BM9" s="183">
        <f>IF($B9='Look Up'!$A$6,$D9*$H9,0)+IF($B9='Look Up'!$A$7,$D9*$H9,0)</f>
        <v>0</v>
      </c>
      <c r="BN9" s="183">
        <f>IF($B9='Look Up'!$A$6,$E9*$H9,0)+IF($B9='Look Up'!$A$7,$E9*$H9,0)</f>
        <v>0</v>
      </c>
      <c r="BO9" s="183">
        <f>IF($B9='Look Up'!$A$6,$F9*$H9,0)+IF($B9='Look Up'!$A$7,$F9*$H9,0)</f>
        <v>0</v>
      </c>
      <c r="BQ9" s="468">
        <f>$C9*'Study Information &amp; rates'!$B$101*IF('Study Information &amp; rates'!$B$43='Study Information &amp; rates'!$V$12,(SUM($H9:$AP9)*1.287),(SUM($H9:$AP9)))</f>
        <v>0</v>
      </c>
      <c r="BR9" s="468">
        <f>$D9*'Study Information &amp; rates'!$C$101*IF('Study Information &amp; rates'!$B$43='Study Information &amp; rates'!$V$12,(SUM($H9:$AP9)*1.287),(SUM($H9:$AP9)))</f>
        <v>0</v>
      </c>
      <c r="BS9" s="468">
        <f>$E9*'Study Information &amp; rates'!$D$101*IF('Study Information &amp; rates'!$B$43='Study Information &amp; rates'!$V$12,(SUM($H9:$AP9)*1.287),(SUM($H9:$AP9)))</f>
        <v>0</v>
      </c>
      <c r="BT9" s="468">
        <f>$F9*'Study Information &amp; rates'!$F$101*IF('Study Information &amp; rates'!$B$43='Study Information &amp; rates'!$V$12,(SUM($H9:$AP9)*1.287),(SUM($H9:$AP9)))</f>
        <v>0</v>
      </c>
      <c r="BU9" s="469">
        <f>AR9+AS9</f>
        <v>0</v>
      </c>
      <c r="BW9" s="183">
        <f>SUM(H9:AP9)</f>
        <v>0</v>
      </c>
    </row>
    <row r="10" spans="1:75">
      <c r="A10" s="8"/>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319"/>
      <c r="P10" s="319"/>
      <c r="Q10" s="319"/>
      <c r="R10" s="319"/>
      <c r="S10" s="319"/>
      <c r="T10" s="319"/>
      <c r="U10" s="319"/>
      <c r="V10" s="319"/>
      <c r="W10" s="319"/>
      <c r="X10" s="316"/>
      <c r="Y10" s="313"/>
      <c r="Z10" s="313"/>
      <c r="AA10" s="313"/>
      <c r="AB10" s="313"/>
      <c r="AC10" s="8"/>
      <c r="AD10" s="8"/>
      <c r="AE10" s="8"/>
      <c r="AF10" s="8"/>
      <c r="AG10" s="8"/>
      <c r="AH10" s="8"/>
      <c r="AI10" s="8"/>
      <c r="AJ10" s="8"/>
      <c r="AK10" s="8"/>
      <c r="AL10" s="8"/>
      <c r="AM10" s="8"/>
      <c r="AN10" s="8"/>
      <c r="AO10" s="8"/>
      <c r="AP10" s="454"/>
      <c r="AQ10" s="422"/>
      <c r="AR10" s="536">
        <f>(SUM(H10:AP10))*G10</f>
        <v>0</v>
      </c>
      <c r="AS10" s="438">
        <f>IF('Study Information &amp; rates'!$B$43="Yes",AR10*0.287,0)</f>
        <v>0</v>
      </c>
      <c r="AT10" s="438">
        <f>IF('Study Information &amp; rates'!$B$43="No",0,AR10*0.05)</f>
        <v>0</v>
      </c>
      <c r="AU10" s="438">
        <f>IF('Study Information &amp; rates'!$B$44="No",AR10+AS10+AT10,'Set-up and other costs'!$B$18*(AR10+AS10+AT10))</f>
        <v>0</v>
      </c>
      <c r="BA10" s="349"/>
      <c r="BC10" s="447">
        <f>H10*G10</f>
        <v>0</v>
      </c>
      <c r="BD10" s="447">
        <f>IF('Study Information &amp; rates'!$B$43='Study Information &amp; rates'!$V$12,BC10*0.287,0)</f>
        <v>0</v>
      </c>
      <c r="BE10" s="447">
        <f>IF((Reconciliation!$C$15)&gt;5000,BC10*0.05,0)</f>
        <v>0</v>
      </c>
      <c r="BF10" s="447">
        <f>BC10+BD10+BE10</f>
        <v>0</v>
      </c>
      <c r="BG10" s="183" t="b">
        <f>IF($B10='Look Up'!$A$5,$H10)</f>
        <v>0</v>
      </c>
      <c r="BH10" s="183" t="b">
        <f>IF($B10='Look Up'!$A$6,$H10)</f>
        <v>0</v>
      </c>
      <c r="BI10" s="183" t="b">
        <f>IF($B10='Look Up'!$A$7,$H10)</f>
        <v>0</v>
      </c>
      <c r="BJ10" s="183" t="b">
        <f>IF($B10='Look Up'!$A$7,$H10)</f>
        <v>0</v>
      </c>
      <c r="BL10" s="183">
        <f>IF($B10='Look Up'!$A$6,$E10*$H10,0)+IF($B10='Look Up'!$A$7,$E10*$H10,0)</f>
        <v>0</v>
      </c>
      <c r="BM10" s="183">
        <f>IF($B10='Look Up'!$A$6,$D10*$H10,0)+IF($B10='Look Up'!$A$7,$D10*$H10,0)</f>
        <v>0</v>
      </c>
      <c r="BN10" s="183">
        <f>IF($B10='Look Up'!$A$6,$E10*$H10,0)+IF($B10='Look Up'!$A$7,$E10*$H10,0)</f>
        <v>0</v>
      </c>
      <c r="BO10" s="183">
        <f>IF($B10='Look Up'!$A$6,$F10*$H10,0)+IF($B10='Look Up'!$A$7,$F10*$H10,0)</f>
        <v>0</v>
      </c>
      <c r="BQ10" s="468">
        <f>$C10*'Study Information &amp; rates'!$B$101*IF('Study Information &amp; rates'!$B$43='Study Information &amp; rates'!$V$12,(SUM($H10:$AP10)*1.287),(SUM($H10:$AP10)))</f>
        <v>0</v>
      </c>
      <c r="BR10" s="468">
        <f>$D10*'Study Information &amp; rates'!$C$101*IF('Study Information &amp; rates'!$B$43='Study Information &amp; rates'!$V$12,(SUM($H10:$AP10)*1.287),(SUM($H10:$AP10)))</f>
        <v>0</v>
      </c>
      <c r="BS10" s="468">
        <f>$E10*'Study Information &amp; rates'!$D$101*IF('Study Information &amp; rates'!$B$43='Study Information &amp; rates'!$V$12,(SUM($H10:$AP10)*1.287),(SUM($H10:$AP10)))</f>
        <v>0</v>
      </c>
      <c r="BT10" s="468">
        <f>$F10*'Study Information &amp; rates'!$F$101*IF('Study Information &amp; rates'!$B$43='Study Information &amp; rates'!$V$12,(SUM($H10:$AP10)*1.287),(SUM($H10:$AP10)))</f>
        <v>0</v>
      </c>
      <c r="BU10" s="469">
        <f>AR10+AS10</f>
        <v>0</v>
      </c>
      <c r="BW10" s="183">
        <f>SUM(H10:AP10)</f>
        <v>0</v>
      </c>
    </row>
    <row r="11" spans="1:75">
      <c r="A11" s="8"/>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446"/>
      <c r="J11" s="446"/>
      <c r="K11" s="446"/>
      <c r="L11" s="446"/>
      <c r="M11" s="446"/>
      <c r="N11" s="446"/>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454"/>
      <c r="AQ11" s="422"/>
      <c r="AR11" s="536">
        <f>(SUM(H11:AP11))*G11</f>
        <v>0</v>
      </c>
      <c r="AS11" s="438">
        <f>IF('Study Information &amp; rates'!$B$43="Yes",AR11*0.287,0)</f>
        <v>0</v>
      </c>
      <c r="AT11" s="438">
        <f>IF('Study Information &amp; rates'!$B$43="No",0,AR11*0.05)</f>
        <v>0</v>
      </c>
      <c r="AU11" s="438">
        <f>IF('Study Information &amp; rates'!$B$44="No",AR11+AS11+AT11,'Set-up and other costs'!$B$18*(AR11+AS11+AT11))</f>
        <v>0</v>
      </c>
      <c r="BC11" s="447">
        <f>H11*G11</f>
        <v>0</v>
      </c>
      <c r="BD11" s="447">
        <f>IF('Study Information &amp; rates'!$B$43='Study Information &amp; rates'!$V$12,BC11*0.287,0)</f>
        <v>0</v>
      </c>
      <c r="BE11" s="447">
        <f>IF((Reconciliation!$C$15)&gt;5000,BC11*0.05,0)</f>
        <v>0</v>
      </c>
      <c r="BF11" s="447">
        <f>BC11+BD11+BE11</f>
        <v>0</v>
      </c>
      <c r="BG11" s="183" t="b">
        <f>IF($B11='Look Up'!$A$5,$H11)</f>
        <v>0</v>
      </c>
      <c r="BH11" s="183" t="b">
        <f>IF($B11='Look Up'!$A$6,$H11)</f>
        <v>0</v>
      </c>
      <c r="BI11" s="183" t="b">
        <f>IF($B11='Look Up'!$A$7,$H11)</f>
        <v>0</v>
      </c>
      <c r="BJ11" s="183" t="b">
        <f>IF($B11='Look Up'!$A$7,$H11)</f>
        <v>0</v>
      </c>
      <c r="BL11" s="183">
        <f>IF($B11='Look Up'!$A$6,$C11*$H11,0)+IF($B11='Look Up'!$A$7,$C11*$H11,0)</f>
        <v>0</v>
      </c>
      <c r="BM11" s="183">
        <f>IF($B11='Look Up'!$A$6,$D11*$H11,0)+IF($B11='Look Up'!$A$7,$D11*$H11,0)</f>
        <v>0</v>
      </c>
      <c r="BN11" s="183">
        <f>IF($B11='Look Up'!$A$6,$E11*$H11,0)+IF($B11='Look Up'!$A$7,$E11*$H11,0)</f>
        <v>0</v>
      </c>
      <c r="BO11" s="183">
        <f>IF($B11='Look Up'!$A$6,$F11*$H11,0)+IF($B11='Look Up'!$A$7,$F11*$H11,0)</f>
        <v>0</v>
      </c>
      <c r="BQ11" s="468">
        <f>$C11*'Study Information &amp; rates'!$B$101*IF('Study Information &amp; rates'!$B$43='Study Information &amp; rates'!$V$12,(SUM($H11:$AP11)*1.287),(SUM($H11:$AP11)))</f>
        <v>0</v>
      </c>
      <c r="BR11" s="468">
        <f>$D11*'Study Information &amp; rates'!$C$101*IF('Study Information &amp; rates'!$B$43='Study Information &amp; rates'!$V$12,(SUM($H11:$AP11)*1.287),(SUM($H11:$AP11)))</f>
        <v>0</v>
      </c>
      <c r="BS11" s="468">
        <f>$E11*'Study Information &amp; rates'!$D$101*IF('Study Information &amp; rates'!$B$43='Study Information &amp; rates'!$V$12,(SUM($H11:$AP11)*1.287),(SUM($H11:$AP11)))</f>
        <v>0</v>
      </c>
      <c r="BT11" s="468">
        <f>$F11*'Study Information &amp; rates'!$F$101*IF('Study Information &amp; rates'!$B$43='Study Information &amp; rates'!$V$12,(SUM($H11:$AP11)*1.287),(SUM($H11:$AP11)))</f>
        <v>0</v>
      </c>
      <c r="BU11" s="469">
        <f>AR11+AS11</f>
        <v>0</v>
      </c>
      <c r="BW11" s="183">
        <f>SUM(H11:AP11)</f>
        <v>0</v>
      </c>
    </row>
    <row r="12" spans="1:75" ht="27" customHeight="1">
      <c r="A12" s="8"/>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8"/>
      <c r="J12" s="8"/>
      <c r="K12" s="8"/>
      <c r="L12" s="8"/>
      <c r="M12" s="8"/>
      <c r="N12" s="8"/>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454"/>
      <c r="AQ12" s="422"/>
      <c r="AR12" s="536">
        <f>(SUM(H12:AP12))*G12</f>
        <v>0</v>
      </c>
      <c r="AS12" s="438">
        <f>IF('Study Information &amp; rates'!$B$43="Yes",AR12*0.287,0)</f>
        <v>0</v>
      </c>
      <c r="AT12" s="438">
        <f>IF('Study Information &amp; rates'!$B$43="No",0,AR12*0.05)</f>
        <v>0</v>
      </c>
      <c r="AU12" s="438">
        <f>IF('Study Information &amp; rates'!$B$44="No",AR12+AS12+AT12,'Set-up and other costs'!$B$18*(AR12+AS12+AT12))</f>
        <v>0</v>
      </c>
      <c r="BC12" s="447">
        <f>H12*G12</f>
        <v>0</v>
      </c>
      <c r="BD12" s="447">
        <f>IF('Study Information &amp; rates'!$B$43='Study Information &amp; rates'!$V$12,BC12*0.287,0)</f>
        <v>0</v>
      </c>
      <c r="BE12" s="447">
        <f>IF((Reconciliation!$C$15)&gt;5000,BC12*0.05,0)</f>
        <v>0</v>
      </c>
      <c r="BF12" s="447">
        <f>BC12+BD12+BE12</f>
        <v>0</v>
      </c>
      <c r="BG12" s="183" t="b">
        <f>IF($B12='Look Up'!$A$5,$H12)</f>
        <v>0</v>
      </c>
      <c r="BH12" s="183" t="b">
        <f>IF($B12='Look Up'!$A$6,$H12)</f>
        <v>0</v>
      </c>
      <c r="BI12" s="183" t="b">
        <f>IF($B12='Look Up'!$A$7,$H12)</f>
        <v>0</v>
      </c>
      <c r="BJ12" s="183" t="b">
        <f>IF($B12='Look Up'!$A$7,$H12)</f>
        <v>0</v>
      </c>
      <c r="BL12" s="183">
        <f>IF($B12='Look Up'!$A$6,$C12*$H12,0)+IF($B12='Look Up'!$A$7,$C12*$H12,0)</f>
        <v>0</v>
      </c>
      <c r="BM12" s="183">
        <f>IF($B12='Look Up'!$A$6,$D12*$H12,0)+IF($B12='Look Up'!$A$7,$D12*$H12,0)</f>
        <v>0</v>
      </c>
      <c r="BN12" s="183">
        <f>IF($B12='Look Up'!$A$6,$E12*$H12,0)+IF($B12='Look Up'!$A$7,$E12*$H12,0)</f>
        <v>0</v>
      </c>
      <c r="BO12" s="183">
        <f>IF($B12='Look Up'!$A$6,$F12*$H12,0)+IF($B12='Look Up'!$A$7,$F12*$H12,0)</f>
        <v>0</v>
      </c>
      <c r="BQ12" s="468">
        <f>$C12*'Study Information &amp; rates'!$B$101*IF('Study Information &amp; rates'!$B$43='Study Information &amp; rates'!$V$12,(SUM($H12:$AP12)*1.287),(SUM($H12:$AP12)))</f>
        <v>0</v>
      </c>
      <c r="BR12" s="468">
        <f>$D12*'Study Information &amp; rates'!$C$101*IF('Study Information &amp; rates'!$B$43='Study Information &amp; rates'!$V$12,(SUM($H12:$AP12)*1.287),(SUM($H12:$AP12)))</f>
        <v>0</v>
      </c>
      <c r="BS12" s="468">
        <f>$E12*'Study Information &amp; rates'!$D$101*IF('Study Information &amp; rates'!$B$43='Study Information &amp; rates'!$V$12,(SUM($H12:$AP12)*1.287),(SUM($H12:$AP12)))</f>
        <v>0</v>
      </c>
      <c r="BT12" s="468">
        <f>$F12*'Study Information &amp; rates'!$F$101*IF('Study Information &amp; rates'!$B$43='Study Information &amp; rates'!$V$12,(SUM($H12:$AP12)*1.287),(SUM($H12:$AP12)))</f>
        <v>0</v>
      </c>
      <c r="BU12" s="469">
        <f>AR12+AS12</f>
        <v>0</v>
      </c>
      <c r="BW12" s="183">
        <f>SUM(H12:AP12)</f>
        <v>0</v>
      </c>
    </row>
    <row r="13" spans="1:75">
      <c r="A13" s="8"/>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454"/>
      <c r="AQ13" s="422"/>
      <c r="AR13" s="536">
        <f>(SUM(H13:AP13))*G13</f>
        <v>0</v>
      </c>
      <c r="AS13" s="438">
        <f>IF('Study Information &amp; rates'!$B$43="Yes",AR13*0.287,0)</f>
        <v>0</v>
      </c>
      <c r="AT13" s="438">
        <f>IF('Study Information &amp; rates'!$B$43="No",0,AR13*0.05)</f>
        <v>0</v>
      </c>
      <c r="AU13" s="438">
        <f>IF('Study Information &amp; rates'!$B$44="No",AR13+AS13+AT13,'Set-up and other costs'!$B$18*(AR13+AS13+AT13))</f>
        <v>0</v>
      </c>
      <c r="BC13" s="447">
        <f>H13*G13</f>
        <v>0</v>
      </c>
      <c r="BD13" s="447">
        <f>IF('Study Information &amp; rates'!$B$43='Study Information &amp; rates'!$V$12,BC13*0.287,0)</f>
        <v>0</v>
      </c>
      <c r="BE13" s="447">
        <f>IF((Reconciliation!$C$15)&gt;5000,BC13*0.05,0)</f>
        <v>0</v>
      </c>
      <c r="BF13" s="447">
        <f>BC13+BD13+BE13</f>
        <v>0</v>
      </c>
      <c r="BG13" s="183" t="b">
        <f>IF($B13='Look Up'!$A$5,$H13)</f>
        <v>0</v>
      </c>
      <c r="BH13" s="183" t="b">
        <f>IF($B13='Look Up'!$A$6,$H13)</f>
        <v>0</v>
      </c>
      <c r="BI13" s="183" t="b">
        <f>IF($B13='Look Up'!$A$7,$H13)</f>
        <v>0</v>
      </c>
      <c r="BJ13" s="183" t="b">
        <f>IF($B13='Look Up'!$A$7,$H13)</f>
        <v>0</v>
      </c>
      <c r="BL13" s="183">
        <f>IF($B13='Look Up'!$A$6,$E13*$H13,0)+IF($B13='Look Up'!$A$7,$E13*$H13,0)</f>
        <v>0</v>
      </c>
      <c r="BM13" s="183">
        <f>IF($B13='Look Up'!$A$6,$D13*$H13,0)+IF($B13='Look Up'!$A$7,$D13*$H13,0)</f>
        <v>0</v>
      </c>
      <c r="BN13" s="183">
        <f>IF($B13='Look Up'!$A$6,$E13*$H13,0)+IF($B13='Look Up'!$A$7,$E13*$H13,0)</f>
        <v>0</v>
      </c>
      <c r="BO13" s="183">
        <f>IF($B13='Look Up'!$A$6,$F13*$H13,0)+IF($B13='Look Up'!$A$7,$F13*$H13,0)</f>
        <v>0</v>
      </c>
      <c r="BQ13" s="468">
        <f>$C13*'Study Information &amp; rates'!$B$101*IF('Study Information &amp; rates'!$B$43='Study Information &amp; rates'!$V$12,(SUM($H13:$AP13)*1.287),(SUM($H13:$AP13)))</f>
        <v>0</v>
      </c>
      <c r="BR13" s="468">
        <f>$D13*'Study Information &amp; rates'!$C$101*IF('Study Information &amp; rates'!$B$43='Study Information &amp; rates'!$V$12,(SUM($H13:$AP13)*1.287),(SUM($H13:$AP13)))</f>
        <v>0</v>
      </c>
      <c r="BS13" s="468">
        <f>$E13*'Study Information &amp; rates'!$D$101*IF('Study Information &amp; rates'!$B$43='Study Information &amp; rates'!$V$12,(SUM($H13:$AP13)*1.287),(SUM($H13:$AP13)))</f>
        <v>0</v>
      </c>
      <c r="BT13" s="468">
        <f>$F13*'Study Information &amp; rates'!$F$101*IF('Study Information &amp; rates'!$B$43='Study Information &amp; rates'!$V$12,(SUM($H13:$AP13)*1.287),(SUM($H13:$AP13)))</f>
        <v>0</v>
      </c>
      <c r="BU13" s="469">
        <f>AR13+AS13</f>
        <v>0</v>
      </c>
      <c r="BW13" s="183">
        <f>SUM(H13:AP13)</f>
        <v>0</v>
      </c>
    </row>
    <row r="14" spans="1:75" ht="17.25" customHeight="1">
      <c r="A14" s="8"/>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454"/>
      <c r="AQ14" s="422"/>
      <c r="AR14" s="536">
        <f>(SUM(H14:AP14))*G14</f>
        <v>0</v>
      </c>
      <c r="AS14" s="438">
        <f>IF('Study Information &amp; rates'!$B$43="Yes",AR14*0.287,0)</f>
        <v>0</v>
      </c>
      <c r="AT14" s="438">
        <f>IF('Study Information &amp; rates'!$B$43="No",0,AR14*0.05)</f>
        <v>0</v>
      </c>
      <c r="AU14" s="438">
        <f>IF('Study Information &amp; rates'!$B$44="No",AR14+AS14+AT14,'Set-up and other costs'!$B$18*(AR14+AS14+AT14))</f>
        <v>0</v>
      </c>
      <c r="BC14" s="447">
        <f>H14*G14</f>
        <v>0</v>
      </c>
      <c r="BD14" s="447">
        <f>IF('Study Information &amp; rates'!$B$43='Study Information &amp; rates'!$V$12,BC14*0.287,0)</f>
        <v>0</v>
      </c>
      <c r="BE14" s="447">
        <f>IF((Reconciliation!$C$15)&gt;5000,BC14*0.05,0)</f>
        <v>0</v>
      </c>
      <c r="BF14" s="447">
        <f>BC14+BD14+BE14</f>
        <v>0</v>
      </c>
      <c r="BG14" s="183" t="b">
        <f>IF($B14='Look Up'!$A$5,$H14)</f>
        <v>0</v>
      </c>
      <c r="BH14" s="183" t="b">
        <f>IF($B14='Look Up'!$A$6,$H14)</f>
        <v>0</v>
      </c>
      <c r="BI14" s="183" t="b">
        <f>IF($B14='Look Up'!$A$7,$H14)</f>
        <v>0</v>
      </c>
      <c r="BJ14" s="183" t="b">
        <f>IF($B14='Look Up'!$A$7,$H14)</f>
        <v>0</v>
      </c>
      <c r="BL14" s="183">
        <f>IF($B14='Look Up'!$A$6,$E14*$H14,0)+IF($B14='Look Up'!$A$7,$E14*$H14,0)</f>
        <v>0</v>
      </c>
      <c r="BM14" s="183">
        <f>IF($B14='Look Up'!$A$6,$D14*$H14,0)+IF($B14='Look Up'!$A$7,$D14*$H14,0)</f>
        <v>0</v>
      </c>
      <c r="BN14" s="183">
        <f>IF($B14='Look Up'!$A$6,$E14*$H14,0)+IF($B14='Look Up'!$A$7,$E14*$H14,0)</f>
        <v>0</v>
      </c>
      <c r="BO14" s="183">
        <f>IF($B14='Look Up'!$A$6,$F14*$H14,0)+IF($B14='Look Up'!$A$7,$F14*$H14,0)</f>
        <v>0</v>
      </c>
      <c r="BQ14" s="468">
        <f>$C14*'Study Information &amp; rates'!$B$101*IF('Study Information &amp; rates'!$B$43='Study Information &amp; rates'!$V$12,(SUM($H14:$AP14)*1.287),(SUM($H14:$AP14)))</f>
        <v>0</v>
      </c>
      <c r="BR14" s="468">
        <f>$D14*'Study Information &amp; rates'!$C$101*IF('Study Information &amp; rates'!$B$43='Study Information &amp; rates'!$V$12,(SUM($H14:$AP14)*1.287),(SUM($H14:$AP14)))</f>
        <v>0</v>
      </c>
      <c r="BS14" s="468">
        <f>$E14*'Study Information &amp; rates'!$D$101*IF('Study Information &amp; rates'!$B$43='Study Information &amp; rates'!$V$12,(SUM($H14:$AP14)*1.287),(SUM($H14:$AP14)))</f>
        <v>0</v>
      </c>
      <c r="BT14" s="468">
        <f>$F14*'Study Information &amp; rates'!$F$101*IF('Study Information &amp; rates'!$B$43='Study Information &amp; rates'!$V$12,(SUM($H14:$AP14)*1.287),(SUM($H14:$AP14)))</f>
        <v>0</v>
      </c>
      <c r="BU14" s="469">
        <f>AR14+AS14</f>
        <v>0</v>
      </c>
      <c r="BW14" s="183">
        <f>SUM(H14:AP14)</f>
        <v>0</v>
      </c>
    </row>
    <row r="15" spans="1:75">
      <c r="A15" s="8"/>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454"/>
      <c r="AQ15" s="422"/>
      <c r="AR15" s="536">
        <f>(SUM(H15:AP15))*G15</f>
        <v>0</v>
      </c>
      <c r="AS15" s="438">
        <f>IF('Study Information &amp; rates'!$B$43="Yes",AR15*0.287,0)</f>
        <v>0</v>
      </c>
      <c r="AT15" s="438">
        <f>IF('Study Information &amp; rates'!$B$43="No",0,AR15*0.05)</f>
        <v>0</v>
      </c>
      <c r="AU15" s="438">
        <f>IF('Study Information &amp; rates'!$B$44="No",AR15+AS15+AT15,'Set-up and other costs'!$B$18*(AR15+AS15+AT15))</f>
        <v>0</v>
      </c>
      <c r="BC15" s="447">
        <f>H15*G15</f>
        <v>0</v>
      </c>
      <c r="BD15" s="447">
        <f>IF('Study Information &amp; rates'!$B$43='Study Information &amp; rates'!$V$12,BC15*0.287,0)</f>
        <v>0</v>
      </c>
      <c r="BE15" s="447">
        <f>IF((Reconciliation!$C$15)&gt;5000,BC15*0.05,0)</f>
        <v>0</v>
      </c>
      <c r="BF15" s="447">
        <f>BC15+BD15+BE15</f>
        <v>0</v>
      </c>
      <c r="BG15" s="183" t="b">
        <f>IF($B15='Look Up'!$A$5,$H15)</f>
        <v>0</v>
      </c>
      <c r="BH15" s="183" t="b">
        <f>IF($B15='Look Up'!$A$6,$H15)</f>
        <v>0</v>
      </c>
      <c r="BI15" s="183" t="b">
        <f>IF($B15='Look Up'!$A$7,$H15)</f>
        <v>0</v>
      </c>
      <c r="BJ15" s="183" t="b">
        <f>IF($B15='Look Up'!$A$7,$H15)</f>
        <v>0</v>
      </c>
      <c r="BL15" s="183">
        <f>IF($B15='Look Up'!$A$6,$E15*$H15,0)+IF($B15='Look Up'!$A$7,$E15*$H15,0)</f>
        <v>0</v>
      </c>
      <c r="BM15" s="183">
        <f>IF($B15='Look Up'!$A$6,$D15*$H15,0)+IF($B15='Look Up'!$A$7,$D15*$H15,0)</f>
        <v>0</v>
      </c>
      <c r="BN15" s="183">
        <f>IF($B15='Look Up'!$A$6,$E15*$H15,0)+IF($B15='Look Up'!$A$7,$E15*$H15,0)</f>
        <v>0</v>
      </c>
      <c r="BO15" s="183">
        <f>IF($B15='Look Up'!$A$6,$F15*$H15,0)+IF($B15='Look Up'!$A$7,$F15*$H15,0)</f>
        <v>0</v>
      </c>
      <c r="BQ15" s="468">
        <f>$C15*'Study Information &amp; rates'!$B$101*IF('Study Information &amp; rates'!$B$43='Study Information &amp; rates'!$V$12,(SUM($H15:$AP15)*1.287),(SUM($H15:$AP15)))</f>
        <v>0</v>
      </c>
      <c r="BR15" s="468">
        <f>$D15*'Study Information &amp; rates'!$C$101*IF('Study Information &amp; rates'!$B$43='Study Information &amp; rates'!$V$12,(SUM($H15:$AP15)*1.287),(SUM($H15:$AP15)))</f>
        <v>0</v>
      </c>
      <c r="BS15" s="468">
        <f>$E15*'Study Information &amp; rates'!$D$101*IF('Study Information &amp; rates'!$B$43='Study Information &amp; rates'!$V$12,(SUM($H15:$AP15)*1.287),(SUM($H15:$AP15)))</f>
        <v>0</v>
      </c>
      <c r="BT15" s="468">
        <f>$F15*'Study Information &amp; rates'!$F$101*IF('Study Information &amp; rates'!$B$43='Study Information &amp; rates'!$V$12,(SUM($H15:$AP15)*1.287),(SUM($H15:$AP15)))</f>
        <v>0</v>
      </c>
      <c r="BU15" s="469">
        <f>AR15+AS15</f>
        <v>0</v>
      </c>
      <c r="BW15" s="183">
        <f>SUM(H15:AP15)</f>
        <v>0</v>
      </c>
    </row>
    <row r="16" spans="1:75">
      <c r="A16" s="8"/>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454"/>
      <c r="AQ16" s="422"/>
      <c r="AR16" s="536">
        <f>(SUM(H16:AP16))*G16</f>
        <v>0</v>
      </c>
      <c r="AS16" s="438">
        <f>IF('Study Information &amp; rates'!$B$43="Yes",AR16*0.287,0)</f>
        <v>0</v>
      </c>
      <c r="AT16" s="438">
        <f>IF('Study Information &amp; rates'!$B$43="No",0,AR16*0.05)</f>
        <v>0</v>
      </c>
      <c r="AU16" s="438">
        <f>IF('Study Information &amp; rates'!$B$44="No",AR16+AS16+AT16,'Set-up and other costs'!$B$18*(AR16+AS16+AT16))</f>
        <v>0</v>
      </c>
      <c r="BC16" s="447">
        <f>H16*G16</f>
        <v>0</v>
      </c>
      <c r="BD16" s="447">
        <f>IF('Study Information &amp; rates'!$B$43='Study Information &amp; rates'!$V$12,BC16*0.287,0)</f>
        <v>0</v>
      </c>
      <c r="BE16" s="447">
        <f>IF((Reconciliation!$C$15)&gt;5000,BC16*0.05,0)</f>
        <v>0</v>
      </c>
      <c r="BF16" s="447">
        <f>BC16+BD16+BE16</f>
        <v>0</v>
      </c>
      <c r="BG16" s="183" t="b">
        <f>IF($B16='Look Up'!$A$5,$H16)</f>
        <v>0</v>
      </c>
      <c r="BH16" s="183" t="b">
        <f>IF($B16='Look Up'!$A$6,$H16)</f>
        <v>0</v>
      </c>
      <c r="BI16" s="183" t="b">
        <f>IF($B16='Look Up'!$A$7,$H16)</f>
        <v>0</v>
      </c>
      <c r="BJ16" s="183" t="b">
        <f>IF($B16='Look Up'!$A$7,$H16)</f>
        <v>0</v>
      </c>
      <c r="BL16" s="183">
        <f>IF($B16='Look Up'!$A$6,$E16*$H16,0)+IF($B16='Look Up'!$A$7,$E16*$H16,0)</f>
        <v>0</v>
      </c>
      <c r="BM16" s="183">
        <f>IF($B16='Look Up'!$A$6,$D16*$H16,0)+IF($B16='Look Up'!$A$7,$D16*$H16,0)</f>
        <v>0</v>
      </c>
      <c r="BN16" s="183">
        <f>IF($B16='Look Up'!$A$6,$E16*$H16,0)+IF($B16='Look Up'!$A$7,$E16*$H16,0)</f>
        <v>0</v>
      </c>
      <c r="BO16" s="183">
        <f>IF($B16='Look Up'!$A$6,$F16*$H16,0)+IF($B16='Look Up'!$A$7,$F16*$H16,0)</f>
        <v>0</v>
      </c>
      <c r="BQ16" s="468">
        <f>$C16*'Study Information &amp; rates'!$B$101*IF('Study Information &amp; rates'!$B$43='Study Information &amp; rates'!$V$12,(SUM($H16:$AP16)*1.287),(SUM($H16:$AP16)))</f>
        <v>0</v>
      </c>
      <c r="BR16" s="468">
        <f>$D16*'Study Information &amp; rates'!$C$101*IF('Study Information &amp; rates'!$B$43='Study Information &amp; rates'!$V$12,(SUM($H16:$AP16)*1.287),(SUM($H16:$AP16)))</f>
        <v>0</v>
      </c>
      <c r="BS16" s="468">
        <f>$E16*'Study Information &amp; rates'!$D$101*IF('Study Information &amp; rates'!$B$43='Study Information &amp; rates'!$V$12,(SUM($H16:$AP16)*1.287),(SUM($H16:$AP16)))</f>
        <v>0</v>
      </c>
      <c r="BT16" s="468">
        <f>$F16*'Study Information &amp; rates'!$F$101*IF('Study Information &amp; rates'!$B$43='Study Information &amp; rates'!$V$12,(SUM($H16:$AP16)*1.287),(SUM($H16:$AP16)))</f>
        <v>0</v>
      </c>
      <c r="BU16" s="469">
        <f>AR16+AS16</f>
        <v>0</v>
      </c>
      <c r="BW16" s="183">
        <f>SUM(H16:AP16)</f>
        <v>0</v>
      </c>
    </row>
    <row r="17" spans="1:75">
      <c r="A17" s="8"/>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454"/>
      <c r="AQ17" s="422"/>
      <c r="AR17" s="536">
        <f>(SUM(H17:AP17))*G17</f>
        <v>0</v>
      </c>
      <c r="AS17" s="438">
        <f>IF('Study Information &amp; rates'!$B$43="Yes",AR17*0.287,0)</f>
        <v>0</v>
      </c>
      <c r="AT17" s="438">
        <f>IF('Study Information &amp; rates'!$B$43="No",0,AR17*0.05)</f>
        <v>0</v>
      </c>
      <c r="AU17" s="438">
        <f>IF('Study Information &amp; rates'!$B$44="No",AR17+AS17+AT17,'Set-up and other costs'!$B$18*(AR17+AS17+AT17))</f>
        <v>0</v>
      </c>
      <c r="BC17" s="447">
        <f>H17*G17</f>
        <v>0</v>
      </c>
      <c r="BD17" s="447">
        <f>IF('Study Information &amp; rates'!$B$43='Study Information &amp; rates'!$V$12,BC17*0.287,0)</f>
        <v>0</v>
      </c>
      <c r="BE17" s="447">
        <f>IF((Reconciliation!$C$15)&gt;5000,BC17*0.05,0)</f>
        <v>0</v>
      </c>
      <c r="BF17" s="447">
        <f>BC17+BD17+BE17</f>
        <v>0</v>
      </c>
      <c r="BG17" s="183" t="b">
        <f>IF($B17='Look Up'!$A$5,$H17)</f>
        <v>0</v>
      </c>
      <c r="BH17" s="183" t="b">
        <f>IF($B17='Look Up'!$A$6,$H17)</f>
        <v>0</v>
      </c>
      <c r="BI17" s="183" t="b">
        <f>IF($B17='Look Up'!$A$7,$H17)</f>
        <v>0</v>
      </c>
      <c r="BJ17" s="183" t="b">
        <f>IF($B17='Look Up'!$A$7,$H17)</f>
        <v>0</v>
      </c>
      <c r="BL17" s="183">
        <f>IF($B17='Look Up'!$A$6,$E17*$H17,0)+IF($B17='Look Up'!$A$7,$E17*$H17,0)</f>
        <v>0</v>
      </c>
      <c r="BM17" s="183">
        <f>IF($B17='Look Up'!$A$6,$D17*$H17,0)+IF($B17='Look Up'!$A$7,$D17*$H17,0)</f>
        <v>0</v>
      </c>
      <c r="BN17" s="183">
        <f>IF($B17='Look Up'!$A$6,$E17*$H17,0)+IF($B17='Look Up'!$A$7,$E17*$H17,0)</f>
        <v>0</v>
      </c>
      <c r="BO17" s="183">
        <f>IF($B17='Look Up'!$A$6,$F17*$H17,0)+IF($B17='Look Up'!$A$7,$F17*$H17,0)</f>
        <v>0</v>
      </c>
      <c r="BQ17" s="468">
        <f>$C17*'Study Information &amp; rates'!$B$101*IF('Study Information &amp; rates'!$B$43='Study Information &amp; rates'!$V$12,(SUM($H17:$AP17)*1.287),(SUM($H17:$AP17)))</f>
        <v>0</v>
      </c>
      <c r="BR17" s="468">
        <f>$D17*'Study Information &amp; rates'!$C$101*IF('Study Information &amp; rates'!$B$43='Study Information &amp; rates'!$V$12,(SUM($H17:$AP17)*1.287),(SUM($H17:$AP17)))</f>
        <v>0</v>
      </c>
      <c r="BS17" s="468">
        <f>$E17*'Study Information &amp; rates'!$D$101*IF('Study Information &amp; rates'!$B$43='Study Information &amp; rates'!$V$12,(SUM($H17:$AP17)*1.287),(SUM($H17:$AP17)))</f>
        <v>0</v>
      </c>
      <c r="BT17" s="468">
        <f>$F17*'Study Information &amp; rates'!$F$101*IF('Study Information &amp; rates'!$B$43='Study Information &amp; rates'!$V$12,(SUM($H17:$AP17)*1.287),(SUM($H17:$AP17)))</f>
        <v>0</v>
      </c>
      <c r="BU17" s="469">
        <f>AR17+AS17</f>
        <v>0</v>
      </c>
      <c r="BW17" s="183">
        <f>SUM(H17:AP17)</f>
        <v>0</v>
      </c>
    </row>
    <row r="18" spans="1:75">
      <c r="A18" s="8"/>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454"/>
      <c r="AQ18" s="422"/>
      <c r="AR18" s="536">
        <f>(SUM(H18:AP18))*G18</f>
        <v>0</v>
      </c>
      <c r="AS18" s="438">
        <f>IF('Study Information &amp; rates'!$B$43="Yes",AR18*0.287,0)</f>
        <v>0</v>
      </c>
      <c r="AT18" s="438">
        <f>IF('Study Information &amp; rates'!$B$43="No",0,AR18*0.05)</f>
        <v>0</v>
      </c>
      <c r="AU18" s="438">
        <f>IF('Study Information &amp; rates'!$B$44="No",AR18+AS18+AT18,'Set-up and other costs'!$B$18*(AR18+AS18+AT18))</f>
        <v>0</v>
      </c>
      <c r="BC18" s="447">
        <f>H18*G18</f>
        <v>0</v>
      </c>
      <c r="BD18" s="447">
        <f>IF('Study Information &amp; rates'!$B$43='Study Information &amp; rates'!$V$12,BC18*0.287,0)</f>
        <v>0</v>
      </c>
      <c r="BE18" s="447">
        <f>IF((Reconciliation!$C$15)&gt;5000,BC18*0.05,0)</f>
        <v>0</v>
      </c>
      <c r="BF18" s="447">
        <f>BC18+BD18+BE18</f>
        <v>0</v>
      </c>
      <c r="BG18" s="183" t="b">
        <f>IF($B18='Look Up'!$A$5,$H18)</f>
        <v>0</v>
      </c>
      <c r="BH18" s="183" t="b">
        <f>IF($B18='Look Up'!$A$6,$H18)</f>
        <v>0</v>
      </c>
      <c r="BI18" s="183" t="b">
        <f>IF($B18='Look Up'!$A$7,$H18)</f>
        <v>0</v>
      </c>
      <c r="BJ18" s="183" t="b">
        <f>IF($B18='Look Up'!$A$7,$H18)</f>
        <v>0</v>
      </c>
      <c r="BL18" s="183">
        <f>IF($B18='Look Up'!$A$6,$E18*$H18,0)+IF($B18='Look Up'!$A$7,$E18*$H18,0)</f>
        <v>0</v>
      </c>
      <c r="BM18" s="183">
        <f>IF($B18='Look Up'!$A$6,$D18*$H18,0)+IF($B18='Look Up'!$A$7,$D18*$H18,0)</f>
        <v>0</v>
      </c>
      <c r="BN18" s="183">
        <f>IF($B18='Look Up'!$A$6,$E18*$H18,0)+IF($B18='Look Up'!$A$7,$E18*$H18,0)</f>
        <v>0</v>
      </c>
      <c r="BO18" s="183">
        <f>IF($B18='Look Up'!$A$6,$F18*$H18,0)+IF($B18='Look Up'!$A$7,$F18*$H18,0)</f>
        <v>0</v>
      </c>
      <c r="BQ18" s="468">
        <f>$C18*'Study Information &amp; rates'!$B$101*IF('Study Information &amp; rates'!$B$43='Study Information &amp; rates'!$V$12,(SUM($H18:$AP18)*1.287),(SUM($H18:$AP18)))</f>
        <v>0</v>
      </c>
      <c r="BR18" s="468">
        <f>$D18*'Study Information &amp; rates'!$C$101*IF('Study Information &amp; rates'!$B$43='Study Information &amp; rates'!$V$12,(SUM($H18:$AP18)*1.287),(SUM($H18:$AP18)))</f>
        <v>0</v>
      </c>
      <c r="BS18" s="468">
        <f>$E18*'Study Information &amp; rates'!$D$101*IF('Study Information &amp; rates'!$B$43='Study Information &amp; rates'!$V$12,(SUM($H18:$AP18)*1.287),(SUM($H18:$AP18)))</f>
        <v>0</v>
      </c>
      <c r="BT18" s="468">
        <f>$F18*'Study Information &amp; rates'!$F$101*IF('Study Information &amp; rates'!$B$43='Study Information &amp; rates'!$V$12,(SUM($H18:$AP18)*1.287),(SUM($H18:$AP18)))</f>
        <v>0</v>
      </c>
      <c r="BU18" s="469">
        <f>AR18+AS18</f>
        <v>0</v>
      </c>
      <c r="BW18" s="183">
        <f>SUM(H18:AP18)</f>
        <v>0</v>
      </c>
    </row>
    <row r="19" spans="1:75">
      <c r="A19" s="8"/>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454"/>
      <c r="AQ19" s="422"/>
      <c r="AR19" s="536">
        <f>(SUM(H19:AP19))*G19</f>
        <v>0</v>
      </c>
      <c r="AS19" s="438">
        <f>IF('Study Information &amp; rates'!$B$43="Yes",AR19*0.287,0)</f>
        <v>0</v>
      </c>
      <c r="AT19" s="438">
        <f>IF('Study Information &amp; rates'!$B$43="No",0,AR19*0.05)</f>
        <v>0</v>
      </c>
      <c r="AU19" s="438">
        <f>IF('Study Information &amp; rates'!$B$44="No",AR19+AS19+AT19,'Set-up and other costs'!$B$18*(AR19+AS19+AT19))</f>
        <v>0</v>
      </c>
      <c r="BC19" s="447">
        <f>H19*G19</f>
        <v>0</v>
      </c>
      <c r="BD19" s="447">
        <f>IF('Study Information &amp; rates'!$B$43='Study Information &amp; rates'!$V$12,BC19*0.287,0)</f>
        <v>0</v>
      </c>
      <c r="BE19" s="447">
        <f>IF((Reconciliation!$C$15)&gt;5000,BC19*0.05,0)</f>
        <v>0</v>
      </c>
      <c r="BF19" s="447">
        <f>BC19+BD19+BE19</f>
        <v>0</v>
      </c>
      <c r="BG19" s="183" t="b">
        <f>IF($B19='Look Up'!$A$5,$H19)</f>
        <v>0</v>
      </c>
      <c r="BH19" s="183" t="b">
        <f>IF($B19='Look Up'!$A$6,$H19)</f>
        <v>0</v>
      </c>
      <c r="BI19" s="183" t="b">
        <f>IF($B19='Look Up'!$A$7,$H19)</f>
        <v>0</v>
      </c>
      <c r="BJ19" s="183" t="b">
        <f>IF($B19='Look Up'!$A$7,$H19)</f>
        <v>0</v>
      </c>
      <c r="BL19" s="183">
        <f>IF($B19='Look Up'!$A$6,$E19*$H19,0)+IF($B19='Look Up'!$A$7,$E19*$H19,0)</f>
        <v>0</v>
      </c>
      <c r="BM19" s="183">
        <f>IF($B19='Look Up'!$A$6,$D19*$H19,0)+IF($B19='Look Up'!$A$7,$D19*$H19,0)</f>
        <v>0</v>
      </c>
      <c r="BN19" s="183">
        <f>IF($B19='Look Up'!$A$6,$E19*$H19,0)+IF($B19='Look Up'!$A$7,$E19*$H19,0)</f>
        <v>0</v>
      </c>
      <c r="BO19" s="183">
        <f>IF($B19='Look Up'!$A$6,$F19*$H19,0)+IF($B19='Look Up'!$A$7,$F19*$H19,0)</f>
        <v>0</v>
      </c>
      <c r="BQ19" s="468">
        <f>$C19*'Study Information &amp; rates'!$B$101*IF('Study Information &amp; rates'!$B$43='Study Information &amp; rates'!$V$12,(SUM($H19:$AP19)*1.287),(SUM($H19:$AP19)))</f>
        <v>0</v>
      </c>
      <c r="BR19" s="468">
        <f>$D19*'Study Information &amp; rates'!$C$101*IF('Study Information &amp; rates'!$B$43='Study Information &amp; rates'!$V$12,(SUM($H19:$AP19)*1.287),(SUM($H19:$AP19)))</f>
        <v>0</v>
      </c>
      <c r="BS19" s="468">
        <f>$E19*'Study Information &amp; rates'!$D$101*IF('Study Information &amp; rates'!$B$43='Study Information &amp; rates'!$V$12,(SUM($H19:$AP19)*1.287),(SUM($H19:$AP19)))</f>
        <v>0</v>
      </c>
      <c r="BT19" s="468">
        <f>$F19*'Study Information &amp; rates'!$F$101*IF('Study Information &amp; rates'!$B$43='Study Information &amp; rates'!$V$12,(SUM($H19:$AP19)*1.287),(SUM($H19:$AP19)))</f>
        <v>0</v>
      </c>
      <c r="BU19" s="469">
        <f>AR19+AS19</f>
        <v>0</v>
      </c>
      <c r="BW19" s="183">
        <f>SUM(H19:AP19)</f>
        <v>0</v>
      </c>
    </row>
    <row r="20" spans="1:75">
      <c r="A20" s="8"/>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319"/>
      <c r="P20" s="319"/>
      <c r="Q20" s="319"/>
      <c r="R20" s="319"/>
      <c r="S20" s="319"/>
      <c r="T20" s="319"/>
      <c r="U20" s="319"/>
      <c r="V20" s="319"/>
      <c r="W20" s="319"/>
      <c r="X20" s="317"/>
      <c r="Y20" s="312"/>
      <c r="Z20" s="312"/>
      <c r="AA20" s="312"/>
      <c r="AB20" s="312"/>
      <c r="AC20" s="8"/>
      <c r="AD20" s="8"/>
      <c r="AE20" s="8"/>
      <c r="AF20" s="8"/>
      <c r="AG20" s="8"/>
      <c r="AH20" s="8"/>
      <c r="AI20" s="8"/>
      <c r="AJ20" s="8"/>
      <c r="AK20" s="8"/>
      <c r="AL20" s="8"/>
      <c r="AM20" s="8"/>
      <c r="AN20" s="8"/>
      <c r="AO20" s="8"/>
      <c r="AP20" s="454"/>
      <c r="AQ20" s="422"/>
      <c r="AR20" s="536">
        <f>(SUM(H20:AP20))*G20</f>
        <v>0</v>
      </c>
      <c r="AS20" s="438">
        <f>IF('Study Information &amp; rates'!$B$43="Yes",AR20*0.287,0)</f>
        <v>0</v>
      </c>
      <c r="AT20" s="438">
        <f>IF('Study Information &amp; rates'!$B$43="No",0,AR20*0.05)</f>
        <v>0</v>
      </c>
      <c r="AU20" s="438">
        <f>IF('Study Information &amp; rates'!$B$44="No",AR20+AS20+AT20,'Set-up and other costs'!$B$18*(AR20+AS20+AT20))</f>
        <v>0</v>
      </c>
      <c r="BC20" s="447">
        <f>H20*G20</f>
        <v>0</v>
      </c>
      <c r="BD20" s="447">
        <f>IF('Study Information &amp; rates'!$B$43='Study Information &amp; rates'!$V$12,BC20*0.287,0)</f>
        <v>0</v>
      </c>
      <c r="BE20" s="447">
        <f>IF((Reconciliation!$C$15)&gt;5000,BC20*0.05,0)</f>
        <v>0</v>
      </c>
      <c r="BF20" s="447">
        <f>BC20+BD20+BE20</f>
        <v>0</v>
      </c>
      <c r="BG20" s="183" t="b">
        <f>IF($B20='Look Up'!$A$5,$H20)</f>
        <v>0</v>
      </c>
      <c r="BH20" s="183" t="b">
        <f>IF($B20='Look Up'!$A$6,$H20)</f>
        <v>0</v>
      </c>
      <c r="BI20" s="183" t="b">
        <f>IF($B20='Look Up'!$A$7,$H20)</f>
        <v>0</v>
      </c>
      <c r="BJ20" s="183" t="b">
        <f>IF($B20='Look Up'!$A$7,$H20)</f>
        <v>0</v>
      </c>
      <c r="BL20" s="183">
        <f>IF($B20='Look Up'!$A$6,$C20*$H20,0)+IF($B20='Look Up'!$A$7,$C20*$H20,0)</f>
        <v>0</v>
      </c>
      <c r="BM20" s="183">
        <f>IF($B20='Look Up'!$A$6,$D20*$H20,0)+IF($B20='Look Up'!$A$7,$D20*$H20,0)</f>
        <v>0</v>
      </c>
      <c r="BN20" s="183">
        <f>IF($B20='Look Up'!$A$6,$E20*$H20,0)+IF($B20='Look Up'!$A$7,$E20*$H20,0)</f>
        <v>0</v>
      </c>
      <c r="BO20" s="183">
        <f>IF($B20='Look Up'!$A$6,$F20*$H20,0)+IF($B20='Look Up'!$A$7,$F20*$H20,0)</f>
        <v>0</v>
      </c>
      <c r="BQ20" s="468">
        <f>$C20*'Study Information &amp; rates'!$B$101*IF('Study Information &amp; rates'!$B$43='Study Information &amp; rates'!$V$12,(SUM($H20:$AP20)*1.287),(SUM($H20:$AP20)))</f>
        <v>0</v>
      </c>
      <c r="BR20" s="468">
        <f>$D20*'Study Information &amp; rates'!$C$101*IF('Study Information &amp; rates'!$B$43='Study Information &amp; rates'!$V$12,(SUM($H20:$AP20)*1.287),(SUM($H20:$AP20)))</f>
        <v>0</v>
      </c>
      <c r="BS20" s="468">
        <f>$E20*'Study Information &amp; rates'!$D$101*IF('Study Information &amp; rates'!$B$43='Study Information &amp; rates'!$V$12,(SUM($H20:$AP20)*1.287),(SUM($H20:$AP20)))</f>
        <v>0</v>
      </c>
      <c r="BT20" s="468">
        <f>$F20*'Study Information &amp; rates'!$F$101*IF('Study Information &amp; rates'!$B$43='Study Information &amp; rates'!$V$12,(SUM($H20:$AP20)*1.287),(SUM($H20:$AP20)))</f>
        <v>0</v>
      </c>
      <c r="BU20" s="469">
        <f>AR20+AS20</f>
        <v>0</v>
      </c>
      <c r="BW20" s="183">
        <f>SUM(H20:AP20)</f>
        <v>0</v>
      </c>
    </row>
    <row r="21" spans="1:75">
      <c r="A21" s="8"/>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8"/>
      <c r="I21" s="8"/>
      <c r="J21" s="8"/>
      <c r="K21" s="8"/>
      <c r="L21" s="8"/>
      <c r="M21" s="8"/>
      <c r="N21" s="8"/>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454"/>
      <c r="AQ21" s="422"/>
      <c r="AR21" s="536">
        <f>(SUM(H21:AP21))*G21</f>
        <v>0</v>
      </c>
      <c r="AS21" s="438">
        <f>IF('Study Information &amp; rates'!$B$43="Yes",AR21*0.287,0)</f>
        <v>0</v>
      </c>
      <c r="AT21" s="438">
        <f>IF('Study Information &amp; rates'!$B$43="No",0,AR21*0.05)</f>
        <v>0</v>
      </c>
      <c r="AU21" s="438">
        <f>IF('Study Information &amp; rates'!$B$44="No",AR21+AS21+AT21,'Set-up and other costs'!$B$18*(AR21+AS21+AT21))</f>
        <v>0</v>
      </c>
      <c r="BC21" s="447">
        <f>H21*G21</f>
        <v>0</v>
      </c>
      <c r="BD21" s="447">
        <f>IF('Study Information &amp; rates'!$B$43='Study Information &amp; rates'!$V$12,BC21*0.287,0)</f>
        <v>0</v>
      </c>
      <c r="BE21" s="447">
        <f>IF((Reconciliation!$C$15)&gt;5000,BC21*0.05,0)</f>
        <v>0</v>
      </c>
      <c r="BF21" s="447">
        <f>BC21+BD21+BE21</f>
        <v>0</v>
      </c>
      <c r="BG21" s="183" t="b">
        <f>IF($B21='Look Up'!$A$5,$H21)</f>
        <v>0</v>
      </c>
      <c r="BH21" s="183" t="b">
        <f>IF($B21='Look Up'!$A$6,$H21)</f>
        <v>0</v>
      </c>
      <c r="BI21" s="183" t="b">
        <f>IF($B21='Look Up'!$A$7,$H21)</f>
        <v>0</v>
      </c>
      <c r="BJ21" s="183" t="b">
        <f>IF($B21='Look Up'!$A$7,$H21)</f>
        <v>0</v>
      </c>
      <c r="BL21" s="183">
        <f>IF($B21='Look Up'!$A$6,$C21*$H21,0)+IF($B21='Look Up'!$A$7,$C21*$H21,0)</f>
        <v>0</v>
      </c>
      <c r="BM21" s="183">
        <f>IF($B21='Look Up'!$A$6,$D21*$H21,0)+IF($B21='Look Up'!$A$7,$D21*$H21,0)</f>
        <v>0</v>
      </c>
      <c r="BN21" s="183">
        <f>IF($B21='Look Up'!$A$6,$E21*$H21,0)+IF($B21='Look Up'!$A$7,$E21*$H21,0)</f>
        <v>0</v>
      </c>
      <c r="BO21" s="183">
        <f>IF($B21='Look Up'!$A$6,$F21*$H21,0)+IF($B21='Look Up'!$A$7,$F21*$H21,0)</f>
        <v>0</v>
      </c>
      <c r="BQ21" s="468">
        <f>$C21*'Study Information &amp; rates'!$B$101*IF('Study Information &amp; rates'!$B$43='Study Information &amp; rates'!$V$12,(SUM($H21:$AP21)*1.287),(SUM($H21:$AP21)))</f>
        <v>0</v>
      </c>
      <c r="BR21" s="468">
        <f>$D21*'Study Information &amp; rates'!$C$101*IF('Study Information &amp; rates'!$B$43='Study Information &amp; rates'!$V$12,(SUM($H21:$AP21)*1.287),(SUM($H21:$AP21)))</f>
        <v>0</v>
      </c>
      <c r="BS21" s="468">
        <f>$E21*'Study Information &amp; rates'!$D$101*IF('Study Information &amp; rates'!$B$43='Study Information &amp; rates'!$V$12,(SUM($H21:$AP21)*1.287),(SUM($H21:$AP21)))</f>
        <v>0</v>
      </c>
      <c r="BT21" s="468">
        <f>$F21*'Study Information &amp; rates'!$F$101*IF('Study Information &amp; rates'!$B$43='Study Information &amp; rates'!$V$12,(SUM($H21:$AP21)*1.287),(SUM($H21:$AP21)))</f>
        <v>0</v>
      </c>
      <c r="BU21" s="469">
        <f>AR21+AS21</f>
        <v>0</v>
      </c>
      <c r="BW21" s="183">
        <f>SUM(H21:AP21)</f>
        <v>0</v>
      </c>
    </row>
    <row r="22" spans="1:75">
      <c r="A22" s="8"/>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8"/>
      <c r="I22" s="8"/>
      <c r="J22" s="8"/>
      <c r="K22" s="8"/>
      <c r="L22" s="8"/>
      <c r="M22" s="8"/>
      <c r="N22" s="8"/>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50"/>
      <c r="AR22" s="438">
        <f>(SUM(H22:AP22))*G22</f>
        <v>0</v>
      </c>
      <c r="AS22" s="438">
        <f>IF('Study Information &amp; rates'!$B$43="Yes",AR22*0.287,0)</f>
        <v>0</v>
      </c>
      <c r="AT22" s="438">
        <f>IF('Study Information &amp; rates'!$B$43="No",0,AR22*0.05)</f>
        <v>0</v>
      </c>
      <c r="AU22" s="438">
        <f>IF('Study Information &amp; rates'!$B$44="No",AR22+AS22+AT22,'Set-up and other costs'!$B$18*(AR22+AS22+AT22))</f>
        <v>0</v>
      </c>
      <c r="BC22" s="447">
        <f>H22*G22</f>
        <v>0</v>
      </c>
      <c r="BD22" s="447">
        <f>IF('Study Information &amp; rates'!$B$43='Study Information &amp; rates'!$V$12,BC22*0.287,0)</f>
        <v>0</v>
      </c>
      <c r="BE22" s="447">
        <f>IF((Reconciliation!$C$15)&gt;5000,BC22*0.05,0)</f>
        <v>0</v>
      </c>
      <c r="BF22" s="447">
        <f>BC22+BD22+BE22</f>
        <v>0</v>
      </c>
      <c r="BG22" s="183" t="b">
        <f>IF($B22='Look Up'!$A$5,$H22)</f>
        <v>0</v>
      </c>
      <c r="BH22" s="183" t="b">
        <f>IF($B22='Look Up'!$A$6,$H22)</f>
        <v>0</v>
      </c>
      <c r="BI22" s="183" t="b">
        <f>IF($B22='Look Up'!$A$7,$H22)</f>
        <v>0</v>
      </c>
      <c r="BJ22" s="183" t="b">
        <f>IF($B22='Look Up'!$A$7,$H22)</f>
        <v>0</v>
      </c>
      <c r="BL22" s="183">
        <f>IF($B22='Look Up'!$A$6,$C22*$H22,0)+IF($B22='Look Up'!$A$7,$C22*$H22,0)</f>
        <v>0</v>
      </c>
      <c r="BM22" s="183">
        <f>IF($B22='Look Up'!$A$6,$D22*$H22,0)+IF($B22='Look Up'!$A$7,$D22*$H22,0)</f>
        <v>0</v>
      </c>
      <c r="BN22" s="183">
        <f>IF($B22='Look Up'!$A$6,$E22*$H22,0)+IF($B22='Look Up'!$A$7,$E22*$H22,0)</f>
        <v>0</v>
      </c>
      <c r="BO22" s="183">
        <f>IF($B22='Look Up'!$A$6,$F22*$H22,0)+IF($B22='Look Up'!$A$7,$F22*$H22,0)</f>
        <v>0</v>
      </c>
      <c r="BQ22" s="468">
        <f>$C22*'Study Information &amp; rates'!$B$101*IF('Study Information &amp; rates'!$B$43='Study Information &amp; rates'!$V$12,(SUM($H22:$AP22)*1.287),(SUM($H22:$AP22)))</f>
        <v>0</v>
      </c>
      <c r="BR22" s="468">
        <f>$D22*'Study Information &amp; rates'!$C$101*IF('Study Information &amp; rates'!$B$43='Study Information &amp; rates'!$V$12,(SUM($H22:$AP22)*1.287),(SUM($H22:$AP22)))</f>
        <v>0</v>
      </c>
      <c r="BS22" s="468">
        <f>$E22*'Study Information &amp; rates'!$D$101*IF('Study Information &amp; rates'!$B$43='Study Information &amp; rates'!$V$12,(SUM($H22:$AP22)*1.287),(SUM($H22:$AP22)))</f>
        <v>0</v>
      </c>
      <c r="BT22" s="468">
        <f>$F22*'Study Information &amp; rates'!$F$101*IF('Study Information &amp; rates'!$B$43='Study Information &amp; rates'!$V$12,(SUM($H22:$AP22)*1.287),(SUM($H22:$AP22)))</f>
        <v>0</v>
      </c>
      <c r="BU22" s="469">
        <f>AR22+AS22</f>
        <v>0</v>
      </c>
      <c r="BW22" s="183">
        <f>SUM(H22:AP22)</f>
        <v>0</v>
      </c>
    </row>
    <row r="23" spans="1:75">
      <c r="A23" s="8"/>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8"/>
      <c r="I23" s="8"/>
      <c r="J23" s="8"/>
      <c r="K23" s="8"/>
      <c r="L23" s="8"/>
      <c r="M23" s="8"/>
      <c r="N23" s="8"/>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35"/>
      <c r="AR23" s="438">
        <f>(SUM(H23:AP23))*G23</f>
        <v>0</v>
      </c>
      <c r="AS23" s="438">
        <f>IF('Study Information &amp; rates'!$B$43="Yes",AR23*0.287,0)</f>
        <v>0</v>
      </c>
      <c r="AT23" s="438">
        <f>IF('Study Information &amp; rates'!$B$43="No",0,AR23*0.05)</f>
        <v>0</v>
      </c>
      <c r="AU23" s="438">
        <f>IF('Study Information &amp; rates'!$B$44="No",AR23+AS23+AT23,'Set-up and other costs'!$B$18*(AR23+AS23+AT23))</f>
        <v>0</v>
      </c>
      <c r="BC23" s="447">
        <f>H23*G23</f>
        <v>0</v>
      </c>
      <c r="BD23" s="447">
        <f>IF('Study Information &amp; rates'!$B$43='Study Information &amp; rates'!$V$12,BC23*0.287,0)</f>
        <v>0</v>
      </c>
      <c r="BE23" s="447">
        <f>IF((Reconciliation!$C$15)&gt;5000,BC23*0.05,0)</f>
        <v>0</v>
      </c>
      <c r="BF23" s="447">
        <f>BC23+BD23+BE23</f>
        <v>0</v>
      </c>
      <c r="BG23" s="183" t="b">
        <f>IF($B23='Look Up'!$A$5,$H23)</f>
        <v>0</v>
      </c>
      <c r="BH23" s="183" t="b">
        <f>IF($B23='Look Up'!$A$6,$H23)</f>
        <v>0</v>
      </c>
      <c r="BI23" s="183" t="b">
        <f>IF($B23='Look Up'!$A$7,$H23)</f>
        <v>0</v>
      </c>
      <c r="BJ23" s="183" t="b">
        <f>IF($B23='Look Up'!$A$7,$H23)</f>
        <v>0</v>
      </c>
      <c r="BL23" s="183">
        <f>IF($B23='Look Up'!$A$6,$C23*$H23,0)+IF($B23='Look Up'!$A$7,$C23*$H23,0)</f>
        <v>0</v>
      </c>
      <c r="BM23" s="183">
        <f>IF($B23='Look Up'!$A$6,$D23*$H23,0)+IF($B23='Look Up'!$A$7,$D23*$H23,0)</f>
        <v>0</v>
      </c>
      <c r="BN23" s="183">
        <f>IF($B23='Look Up'!$A$6,$E23*$H23,0)+IF($B23='Look Up'!$A$7,$E23*$H23,0)</f>
        <v>0</v>
      </c>
      <c r="BO23" s="183">
        <f>IF($B23='Look Up'!$A$6,$F23*$H23,0)+IF($B23='Look Up'!$A$7,$F23*$H23,0)</f>
        <v>0</v>
      </c>
      <c r="BQ23" s="468">
        <f>$C23*'Study Information &amp; rates'!$B$101*IF('Study Information &amp; rates'!$B$43='Study Information &amp; rates'!$V$12,(SUM($H23:$AP23)*1.287),(SUM($H23:$AP23)))</f>
        <v>0</v>
      </c>
      <c r="BR23" s="468">
        <f>$D23*'Study Information &amp; rates'!$C$101*IF('Study Information &amp; rates'!$B$43='Study Information &amp; rates'!$V$12,(SUM($H23:$AP23)*1.287),(SUM($H23:$AP23)))</f>
        <v>0</v>
      </c>
      <c r="BS23" s="468">
        <f>$E23*'Study Information &amp; rates'!$D$101*IF('Study Information &amp; rates'!$B$43='Study Information &amp; rates'!$V$12,(SUM($H23:$AP23)*1.287),(SUM($H23:$AP23)))</f>
        <v>0</v>
      </c>
      <c r="BT23" s="468">
        <f>$F23*'Study Information &amp; rates'!$F$101*IF('Study Information &amp; rates'!$B$43='Study Information &amp; rates'!$V$12,(SUM($H23:$AP23)*1.287),(SUM($H23:$AP23)))</f>
        <v>0</v>
      </c>
      <c r="BU23" s="469">
        <f>AR23+AS23</f>
        <v>0</v>
      </c>
      <c r="BW23" s="183">
        <f>SUM(H23:AP23)</f>
        <v>0</v>
      </c>
    </row>
    <row r="24" spans="1:75">
      <c r="A24" s="8"/>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35"/>
      <c r="AR24" s="438">
        <f>(SUM(H24:AP24))*G24</f>
        <v>0</v>
      </c>
      <c r="AS24" s="438">
        <f>IF('Study Information &amp; rates'!$B$43="Yes",AR24*0.287,0)</f>
        <v>0</v>
      </c>
      <c r="AT24" s="438">
        <f>IF('Study Information &amp; rates'!$B$43="No",0,AR24*0.05)</f>
        <v>0</v>
      </c>
      <c r="AU24" s="438">
        <f>IF('Study Information &amp; rates'!$B$44="No",AR24+AS24+AT24,'Set-up and other costs'!$B$18*(AR24+AS24+AT24))</f>
        <v>0</v>
      </c>
      <c r="BC24" s="447">
        <f>H24*G24</f>
        <v>0</v>
      </c>
      <c r="BD24" s="447">
        <f>IF('Study Information &amp; rates'!$B$43='Study Information &amp; rates'!$V$12,BC24*0.287,0)</f>
        <v>0</v>
      </c>
      <c r="BE24" s="447">
        <f>IF((Reconciliation!$C$15)&gt;5000,BC24*0.05,0)</f>
        <v>0</v>
      </c>
      <c r="BF24" s="447">
        <f>BC24+BD24+BE24</f>
        <v>0</v>
      </c>
      <c r="BG24" s="183" t="b">
        <f>IF($B24='Look Up'!$A$5,$H24)</f>
        <v>0</v>
      </c>
      <c r="BH24" s="183" t="b">
        <f>IF($B24='Look Up'!$A$6,$H24)</f>
        <v>0</v>
      </c>
      <c r="BI24" s="183" t="b">
        <f>IF($B24='Look Up'!$A$7,$H24)</f>
        <v>0</v>
      </c>
      <c r="BJ24" s="183" t="b">
        <f>IF($B24='Look Up'!$A$7,$H24)</f>
        <v>0</v>
      </c>
      <c r="BL24" s="183">
        <f>IF($B24='Look Up'!$A$6,$C24*$H24,0)+IF($B24='Look Up'!$A$7,$C24*$H24,0)</f>
        <v>0</v>
      </c>
      <c r="BM24" s="183">
        <f>IF($B24='Look Up'!$A$6,$D24*$H24,0)+IF($B24='Look Up'!$A$7,$D24*$H24,0)</f>
        <v>0</v>
      </c>
      <c r="BN24" s="183">
        <f>IF($B24='Look Up'!$A$6,$E24*$H24,0)+IF($B24='Look Up'!$A$7,$E24*$H24,0)</f>
        <v>0</v>
      </c>
      <c r="BO24" s="183">
        <f>IF($B24='Look Up'!$A$6,$F24*$H24,0)+IF($B24='Look Up'!$A$7,$F24*$H24,0)</f>
        <v>0</v>
      </c>
      <c r="BQ24" s="468">
        <f>$C24*'Study Information &amp; rates'!$B$101*IF('Study Information &amp; rates'!$B$43='Study Information &amp; rates'!$V$12,(SUM($H24:$AP24)*1.287),(SUM($H24:$AP24)))</f>
        <v>0</v>
      </c>
      <c r="BR24" s="468">
        <f>$D24*'Study Information &amp; rates'!$C$101*IF('Study Information &amp; rates'!$B$43='Study Information &amp; rates'!$V$12,(SUM($H24:$AP24)*1.287),(SUM($H24:$AP24)))</f>
        <v>0</v>
      </c>
      <c r="BS24" s="468">
        <f>$E24*'Study Information &amp; rates'!$D$101*IF('Study Information &amp; rates'!$B$43='Study Information &amp; rates'!$V$12,(SUM($H24:$AP24)*1.287),(SUM($H24:$AP24)))</f>
        <v>0</v>
      </c>
      <c r="BT24" s="468">
        <f>$F24*'Study Information &amp; rates'!$F$101*IF('Study Information &amp; rates'!$B$43='Study Information &amp; rates'!$V$12,(SUM($H24:$AP24)*1.287),(SUM($H24:$AP24)))</f>
        <v>0</v>
      </c>
      <c r="BU24" s="469">
        <f>AR24+AS24</f>
        <v>0</v>
      </c>
      <c r="BW24" s="183">
        <f>SUM(H24:AP24)</f>
        <v>0</v>
      </c>
    </row>
    <row r="25" spans="1:75">
      <c r="A25" s="8"/>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35"/>
      <c r="AR25" s="438">
        <f>(SUM(H25:AP25))*G25</f>
        <v>0</v>
      </c>
      <c r="AS25" s="438">
        <f>IF('Study Information &amp; rates'!$B$43="Yes",AR25*0.287,0)</f>
        <v>0</v>
      </c>
      <c r="AT25" s="438">
        <f>IF('Study Information &amp; rates'!$B$43="No",0,AR25*0.05)</f>
        <v>0</v>
      </c>
      <c r="AU25" s="438">
        <f>IF('Study Information &amp; rates'!$B$44="No",AR25+AS25+AT25,'Set-up and other costs'!$B$18*(AR25+AS25+AT25))</f>
        <v>0</v>
      </c>
      <c r="BC25" s="447">
        <f>H25*G25</f>
        <v>0</v>
      </c>
      <c r="BD25" s="447">
        <f>IF('Study Information &amp; rates'!$B$43='Study Information &amp; rates'!$V$12,BC25*0.287,0)</f>
        <v>0</v>
      </c>
      <c r="BE25" s="447">
        <f>IF((Reconciliation!$C$15)&gt;5000,BC25*0.05,0)</f>
        <v>0</v>
      </c>
      <c r="BF25" s="447">
        <f>BC25+BD25+BE25</f>
        <v>0</v>
      </c>
      <c r="BG25" s="183" t="b">
        <f>IF($B25='Look Up'!$A$5,$H25)</f>
        <v>0</v>
      </c>
      <c r="BH25" s="183" t="b">
        <f>IF($B25='Look Up'!$A$6,$H25)</f>
        <v>0</v>
      </c>
      <c r="BI25" s="183" t="b">
        <f>IF($B25='Look Up'!$A$7,$H25)</f>
        <v>0</v>
      </c>
      <c r="BJ25" s="183" t="b">
        <f>IF($B25='Look Up'!$A$7,$H25)</f>
        <v>0</v>
      </c>
      <c r="BL25" s="183">
        <f>IF($B25='Look Up'!$A$6,$C25*$H25,0)+IF($B25='Look Up'!$A$7,$C25*$H25,0)</f>
        <v>0</v>
      </c>
      <c r="BM25" s="183">
        <f>IF($B25='Look Up'!$A$6,$D25*$H25,0)+IF($B25='Look Up'!$A$7,$D25*$H25,0)</f>
        <v>0</v>
      </c>
      <c r="BN25" s="183">
        <f>IF($B25='Look Up'!$A$6,$E25*$H25,0)+IF($B25='Look Up'!$A$7,$E25*$H25,0)</f>
        <v>0</v>
      </c>
      <c r="BO25" s="183">
        <f>IF($B25='Look Up'!$A$6,$F25*$H25,0)+IF($B25='Look Up'!$A$7,$F25*$H25,0)</f>
        <v>0</v>
      </c>
      <c r="BQ25" s="468">
        <f>$C25*'Study Information &amp; rates'!$B$101*IF('Study Information &amp; rates'!$B$43='Study Information &amp; rates'!$V$12,(SUM($H25:$AP25)*1.287),(SUM($H25:$AP25)))</f>
        <v>0</v>
      </c>
      <c r="BR25" s="468">
        <f>$D25*'Study Information &amp; rates'!$C$101*IF('Study Information &amp; rates'!$B$43='Study Information &amp; rates'!$V$12,(SUM($H25:$AP25)*1.287),(SUM($H25:$AP25)))</f>
        <v>0</v>
      </c>
      <c r="BS25" s="468">
        <f>$E25*'Study Information &amp; rates'!$D$101*IF('Study Information &amp; rates'!$B$43='Study Information &amp; rates'!$V$12,(SUM($H25:$AP25)*1.287),(SUM($H25:$AP25)))</f>
        <v>0</v>
      </c>
      <c r="BT25" s="468">
        <f>$F25*'Study Information &amp; rates'!$F$101*IF('Study Information &amp; rates'!$B$43='Study Information &amp; rates'!$V$12,(SUM($H25:$AP25)*1.287),(SUM($H25:$AP25)))</f>
        <v>0</v>
      </c>
      <c r="BU25" s="469">
        <f>AR25+AS25</f>
        <v>0</v>
      </c>
      <c r="BW25" s="183">
        <f>SUM(H25:AP25)</f>
        <v>0</v>
      </c>
    </row>
    <row r="26" spans="1:75">
      <c r="A26" s="8"/>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35"/>
      <c r="AR26" s="438">
        <f>(SUM(H26:AP26))*G26</f>
        <v>0</v>
      </c>
      <c r="AS26" s="438">
        <f>IF('Study Information &amp; rates'!$B$43="Yes",AR26*0.287,0)</f>
        <v>0</v>
      </c>
      <c r="AT26" s="438">
        <f>IF('Study Information &amp; rates'!$B$43="No",0,AR26*0.05)</f>
        <v>0</v>
      </c>
      <c r="AU26" s="438">
        <f>IF('Study Information &amp; rates'!$B$44="No",AR26+AS26+AT26,'Set-up and other costs'!$B$18*(AR26+AS26+AT26))</f>
        <v>0</v>
      </c>
      <c r="BC26" s="447">
        <f>H26*G26</f>
        <v>0</v>
      </c>
      <c r="BD26" s="447">
        <f>IF('Study Information &amp; rates'!$B$43='Study Information &amp; rates'!$V$12,BC26*0.287,0)</f>
        <v>0</v>
      </c>
      <c r="BE26" s="447">
        <f>IF((Reconciliation!$C$15)&gt;5000,BC26*0.05,0)</f>
        <v>0</v>
      </c>
      <c r="BF26" s="447">
        <f>BC26+BD26+BE26</f>
        <v>0</v>
      </c>
      <c r="BG26" s="183" t="b">
        <f>IF($B26='Look Up'!$A$5,$H26)</f>
        <v>0</v>
      </c>
      <c r="BH26" s="183" t="b">
        <f>IF($B26='Look Up'!$A$6,$H26)</f>
        <v>0</v>
      </c>
      <c r="BI26" s="183" t="b">
        <f>IF($B26='Look Up'!$A$7,$H26)</f>
        <v>0</v>
      </c>
      <c r="BJ26" s="183" t="b">
        <f>IF($B26='Look Up'!$A$7,$H26)</f>
        <v>0</v>
      </c>
      <c r="BL26" s="183">
        <f>IF($B26='Look Up'!$A$6,$C26*$H26,0)+IF($B26='Look Up'!$A$7,$C26*$H26,0)</f>
        <v>0</v>
      </c>
      <c r="BM26" s="183">
        <f>IF($B26='Look Up'!$A$6,$D26*$H26,0)+IF($B26='Look Up'!$A$7,$D26*$H26,0)</f>
        <v>0</v>
      </c>
      <c r="BN26" s="183">
        <f>IF($B26='Look Up'!$A$6,$E26*$H26,0)+IF($B26='Look Up'!$A$7,$E26*$H26,0)</f>
        <v>0</v>
      </c>
      <c r="BO26" s="183">
        <f>IF($B26='Look Up'!$A$6,$F26*$H26,0)+IF($B26='Look Up'!$A$7,$F26*$H26,0)</f>
        <v>0</v>
      </c>
      <c r="BQ26" s="468">
        <f>$C26*'Study Information &amp; rates'!$B$101*IF('Study Information &amp; rates'!$B$43='Study Information &amp; rates'!$V$12,(SUM($H26:$AP26)*1.287),(SUM($H26:$AP26)))</f>
        <v>0</v>
      </c>
      <c r="BR26" s="468">
        <f>$D26*'Study Information &amp; rates'!$C$101*IF('Study Information &amp; rates'!$B$43='Study Information &amp; rates'!$V$12,(SUM($H26:$AP26)*1.287),(SUM($H26:$AP26)))</f>
        <v>0</v>
      </c>
      <c r="BS26" s="468">
        <f>$E26*'Study Information &amp; rates'!$D$101*IF('Study Information &amp; rates'!$B$43='Study Information &amp; rates'!$V$12,(SUM($H26:$AP26)*1.287),(SUM($H26:$AP26)))</f>
        <v>0</v>
      </c>
      <c r="BT26" s="468">
        <f>$F26*'Study Information &amp; rates'!$F$101*IF('Study Information &amp; rates'!$B$43='Study Information &amp; rates'!$V$12,(SUM($H26:$AP26)*1.287),(SUM($H26:$AP26)))</f>
        <v>0</v>
      </c>
      <c r="BU26" s="469">
        <f>AR26+AS26</f>
        <v>0</v>
      </c>
      <c r="BW26" s="183">
        <f>SUM(H26:AP26)</f>
        <v>0</v>
      </c>
    </row>
    <row r="27" spans="1:75">
      <c r="A27" s="8"/>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35"/>
      <c r="AR27" s="438">
        <f>(SUM(H27:AP27))*G27</f>
        <v>0</v>
      </c>
      <c r="AS27" s="438">
        <f>IF('Study Information &amp; rates'!$B$43="Yes",AR27*0.287,0)</f>
        <v>0</v>
      </c>
      <c r="AT27" s="438">
        <f>IF('Study Information &amp; rates'!$B$43="No",0,AR27*0.05)</f>
        <v>0</v>
      </c>
      <c r="AU27" s="438">
        <f>IF('Study Information &amp; rates'!$B$44="No",AR27+AS27+AT27,'Set-up and other costs'!$B$18*(AR27+AS27+AT27))</f>
        <v>0</v>
      </c>
      <c r="BC27" s="447">
        <f>H27*G27</f>
        <v>0</v>
      </c>
      <c r="BD27" s="447">
        <f>IF('Study Information &amp; rates'!$B$43='Study Information &amp; rates'!$V$12,BC27*0.287,0)</f>
        <v>0</v>
      </c>
      <c r="BE27" s="447">
        <f>IF((Reconciliation!$C$15)&gt;5000,BC27*0.05,0)</f>
        <v>0</v>
      </c>
      <c r="BF27" s="447">
        <f>BC27+BD27+BE27</f>
        <v>0</v>
      </c>
      <c r="BG27" s="183" t="b">
        <f>IF($B27='Look Up'!$A$5,$H27)</f>
        <v>0</v>
      </c>
      <c r="BH27" s="183" t="b">
        <f>IF($B27='Look Up'!$A$6,$H27)</f>
        <v>0</v>
      </c>
      <c r="BI27" s="183" t="b">
        <f>IF($B27='Look Up'!$A$7,$H27)</f>
        <v>0</v>
      </c>
      <c r="BJ27" s="183" t="b">
        <f>IF($B27='Look Up'!$A$7,$H27)</f>
        <v>0</v>
      </c>
      <c r="BL27" s="183">
        <f>IF($B27='Look Up'!$A$6,$C27*$H27,0)+IF($B27='Look Up'!$A$7,$C27*$H27,0)</f>
        <v>0</v>
      </c>
      <c r="BM27" s="183">
        <f>IF($B27='Look Up'!$A$6,$D27*$H27,0)+IF($B27='Look Up'!$A$7,$D27*$H27,0)</f>
        <v>0</v>
      </c>
      <c r="BN27" s="183">
        <f>IF($B27='Look Up'!$A$6,$E27*$H27,0)+IF($B27='Look Up'!$A$7,$E27*$H27,0)</f>
        <v>0</v>
      </c>
      <c r="BO27" s="183">
        <f>IF($B27='Look Up'!$A$6,$F27*$H27,0)+IF($B27='Look Up'!$A$7,$F27*$H27,0)</f>
        <v>0</v>
      </c>
      <c r="BQ27" s="468">
        <f>$C27*'Study Information &amp; rates'!$B$101*IF('Study Information &amp; rates'!$B$43='Study Information &amp; rates'!$V$12,(SUM($H27:$AP27)*1.287),(SUM($H27:$AP27)))</f>
        <v>0</v>
      </c>
      <c r="BR27" s="468">
        <f>$D27*'Study Information &amp; rates'!$C$101*IF('Study Information &amp; rates'!$B$43='Study Information &amp; rates'!$V$12,(SUM($H27:$AP27)*1.287),(SUM($H27:$AP27)))</f>
        <v>0</v>
      </c>
      <c r="BS27" s="468">
        <f>$E27*'Study Information &amp; rates'!$D$101*IF('Study Information &amp; rates'!$B$43='Study Information &amp; rates'!$V$12,(SUM($H27:$AP27)*1.287),(SUM($H27:$AP27)))</f>
        <v>0</v>
      </c>
      <c r="BT27" s="468">
        <f>$F27*'Study Information &amp; rates'!$F$101*IF('Study Information &amp; rates'!$B$43='Study Information &amp; rates'!$V$12,(SUM($H27:$AP27)*1.287),(SUM($H27:$AP27)))</f>
        <v>0</v>
      </c>
      <c r="BU27" s="469">
        <f>AR27+AS27</f>
        <v>0</v>
      </c>
      <c r="BW27" s="183">
        <f>SUM(H27:AP27)</f>
        <v>0</v>
      </c>
    </row>
    <row r="28" spans="1:75">
      <c r="A28" s="8"/>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8"/>
      <c r="O28" s="319"/>
      <c r="P28" s="319"/>
      <c r="Q28" s="319"/>
      <c r="R28" s="319"/>
      <c r="S28" s="319"/>
      <c r="T28" s="319"/>
      <c r="U28" s="319"/>
      <c r="V28" s="319"/>
      <c r="W28" s="319"/>
      <c r="X28" s="315"/>
      <c r="Y28" s="8"/>
      <c r="Z28" s="8"/>
      <c r="AA28" s="8"/>
      <c r="AB28" s="8"/>
      <c r="AC28" s="8"/>
      <c r="AD28" s="8"/>
      <c r="AE28" s="8"/>
      <c r="AF28" s="8"/>
      <c r="AG28" s="8"/>
      <c r="AH28" s="8"/>
      <c r="AI28" s="8"/>
      <c r="AJ28" s="8"/>
      <c r="AK28" s="8"/>
      <c r="AL28" s="8"/>
      <c r="AM28" s="8"/>
      <c r="AN28" s="8"/>
      <c r="AO28" s="8"/>
      <c r="AP28" s="8"/>
      <c r="AQ28" s="435"/>
      <c r="AR28" s="438">
        <f>(SUM(H28:AP28))*G28</f>
        <v>0</v>
      </c>
      <c r="AS28" s="438">
        <f>IF('Study Information &amp; rates'!$B$43="Yes",AR28*0.287,0)</f>
        <v>0</v>
      </c>
      <c r="AT28" s="438">
        <f>IF('Study Information &amp; rates'!$B$43="No",0,AR28*0.05)</f>
        <v>0</v>
      </c>
      <c r="AU28" s="438">
        <f>IF('Study Information &amp; rates'!$B$44="No",AR28+AS28+AT28,'Set-up and other costs'!$B$18*(AR28+AS28+AT28))</f>
        <v>0</v>
      </c>
      <c r="BC28" s="447">
        <f>H28*G28</f>
        <v>0</v>
      </c>
      <c r="BD28" s="447">
        <f>IF('Study Information &amp; rates'!$B$43='Study Information &amp; rates'!$V$12,BC28*0.287,0)</f>
        <v>0</v>
      </c>
      <c r="BE28" s="447">
        <f>IF((Reconciliation!$C$15)&gt;5000,BC28*0.05,0)</f>
        <v>0</v>
      </c>
      <c r="BF28" s="447">
        <f>BC28+BD28+BE28</f>
        <v>0</v>
      </c>
      <c r="BG28" s="183" t="b">
        <f>IF($B28='Look Up'!$A$5,$H28)</f>
        <v>0</v>
      </c>
      <c r="BH28" s="183" t="b">
        <f>IF($B28='Look Up'!$A$6,$H28)</f>
        <v>0</v>
      </c>
      <c r="BI28" s="183" t="b">
        <f>IF($B28='Look Up'!$A$7,$H28)</f>
        <v>0</v>
      </c>
      <c r="BJ28" s="183" t="b">
        <f>IF($B28='Look Up'!$A$7,$H28)</f>
        <v>0</v>
      </c>
      <c r="BL28" s="183">
        <f>IF($B28='Look Up'!$A$6,$C28*$H28,0)+IF($B28='Look Up'!$A$7,$C28*$H28,0)</f>
        <v>0</v>
      </c>
      <c r="BM28" s="183">
        <f>IF($B28='Look Up'!$A$6,$D28*$H28,0)+IF($B28='Look Up'!$A$7,$D28*$H28,0)</f>
        <v>0</v>
      </c>
      <c r="BN28" s="183">
        <f>IF($B28='Look Up'!$A$6,$E28*$H28,0)+IF($B28='Look Up'!$A$7,$E28*$H28,0)</f>
        <v>0</v>
      </c>
      <c r="BO28" s="183">
        <f>IF($B28='Look Up'!$A$6,$F28*$H28,0)+IF($B28='Look Up'!$A$7,$F28*$H28,0)</f>
        <v>0</v>
      </c>
      <c r="BQ28" s="468">
        <f>$C28*'Study Information &amp; rates'!$B$101*IF('Study Information &amp; rates'!$B$43='Study Information &amp; rates'!$V$12,(SUM($H28:$AP28)*1.287),(SUM($H28:$AP28)))</f>
        <v>0</v>
      </c>
      <c r="BR28" s="468">
        <f>$D28*'Study Information &amp; rates'!$C$101*IF('Study Information &amp; rates'!$B$43='Study Information &amp; rates'!$V$12,(SUM($H28:$AP28)*1.287),(SUM($H28:$AP28)))</f>
        <v>0</v>
      </c>
      <c r="BS28" s="468">
        <f>$E28*'Study Information &amp; rates'!$D$101*IF('Study Information &amp; rates'!$B$43='Study Information &amp; rates'!$V$12,(SUM($H28:$AP28)*1.287),(SUM($H28:$AP28)))</f>
        <v>0</v>
      </c>
      <c r="BT28" s="468">
        <f>$F28*'Study Information &amp; rates'!$F$101*IF('Study Information &amp; rates'!$B$43='Study Information &amp; rates'!$V$12,(SUM($H28:$AP28)*1.287),(SUM($H28:$AP28)))</f>
        <v>0</v>
      </c>
      <c r="BU28" s="469">
        <f>AR28+AS28</f>
        <v>0</v>
      </c>
      <c r="BW28" s="183">
        <f>SUM(H28:AP28)</f>
        <v>0</v>
      </c>
    </row>
    <row r="29" spans="1:75">
      <c r="A29" s="8"/>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35"/>
      <c r="AR29" s="438">
        <f>(SUM(H29:AP29))*G29</f>
        <v>0</v>
      </c>
      <c r="AS29" s="438">
        <f>IF('Study Information &amp; rates'!$B$43="Yes",AR29*0.287,0)</f>
        <v>0</v>
      </c>
      <c r="AT29" s="438">
        <f>IF('Study Information &amp; rates'!$B$43="No",0,AR29*0.05)</f>
        <v>0</v>
      </c>
      <c r="AU29" s="438">
        <f>IF('Study Information &amp; rates'!$B$44="No",AR29+AS29+AT29,'Set-up and other costs'!$B$18*(AR29+AS29+AT29))</f>
        <v>0</v>
      </c>
      <c r="BC29" s="447">
        <f>H29*G29</f>
        <v>0</v>
      </c>
      <c r="BD29" s="447">
        <f>IF('Study Information &amp; rates'!$B$43='Study Information &amp; rates'!$V$12,BC29*0.287,0)</f>
        <v>0</v>
      </c>
      <c r="BE29" s="447">
        <f>IF((Reconciliation!$C$15)&gt;5000,BC29*0.05,0)</f>
        <v>0</v>
      </c>
      <c r="BF29" s="447">
        <f>BC29+BD29+BE29</f>
        <v>0</v>
      </c>
      <c r="BG29" s="183" t="b">
        <f>IF($B29='Look Up'!$A$5,$H29)</f>
        <v>0</v>
      </c>
      <c r="BH29" s="183" t="b">
        <f>IF($B29='Look Up'!$A$6,$H29)</f>
        <v>0</v>
      </c>
      <c r="BI29" s="183" t="b">
        <f>IF($B29='Look Up'!$A$7,$H29)</f>
        <v>0</v>
      </c>
      <c r="BJ29" s="183" t="b">
        <f>IF($B29='Look Up'!$A$7,$H29)</f>
        <v>0</v>
      </c>
      <c r="BL29" s="183">
        <f>IF($B29='Look Up'!$A$6,$C29*$H29,0)+IF($B29='Look Up'!$A$7,$C29*$H29,0)</f>
        <v>0</v>
      </c>
      <c r="BM29" s="183">
        <f>IF($B29='Look Up'!$A$6,$D29*$H29,0)+IF($B29='Look Up'!$A$7,$D29*$H29,0)</f>
        <v>0</v>
      </c>
      <c r="BN29" s="183">
        <f>IF($B29='Look Up'!$A$6,$E29*$H29,0)+IF($B29='Look Up'!$A$7,$E29*$H29,0)</f>
        <v>0</v>
      </c>
      <c r="BO29" s="183">
        <f>IF($B29='Look Up'!$A$6,$F29*$H29,0)+IF($B29='Look Up'!$A$7,$F29*$H29,0)</f>
        <v>0</v>
      </c>
      <c r="BQ29" s="468">
        <f>$C29*'Study Information &amp; rates'!$B$101*IF('Study Information &amp; rates'!$B$43='Study Information &amp; rates'!$V$12,(SUM($H29:$AP29)*1.287),(SUM($H29:$AP29)))</f>
        <v>0</v>
      </c>
      <c r="BR29" s="468">
        <f>$D29*'Study Information &amp; rates'!$C$101*IF('Study Information &amp; rates'!$B$43='Study Information &amp; rates'!$V$12,(SUM($H29:$AP29)*1.287),(SUM($H29:$AP29)))</f>
        <v>0</v>
      </c>
      <c r="BS29" s="468">
        <f>$E29*'Study Information &amp; rates'!$D$101*IF('Study Information &amp; rates'!$B$43='Study Information &amp; rates'!$V$12,(SUM($H29:$AP29)*1.287),(SUM($H29:$AP29)))</f>
        <v>0</v>
      </c>
      <c r="BT29" s="468">
        <f>$F29*'Study Information &amp; rates'!$F$101*IF('Study Information &amp; rates'!$B$43='Study Information &amp; rates'!$V$12,(SUM($H29:$AP29)*1.287),(SUM($H29:$AP29)))</f>
        <v>0</v>
      </c>
      <c r="BU29" s="469">
        <f>AR29+AS29</f>
        <v>0</v>
      </c>
      <c r="BW29" s="183">
        <f>SUM(H29:AP29)</f>
        <v>0</v>
      </c>
    </row>
    <row r="30" spans="1:75">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35"/>
      <c r="AR30" s="438">
        <f>(SUM(H30:AP30))*G30</f>
        <v>0</v>
      </c>
      <c r="AS30" s="438">
        <f>IF('Study Information &amp; rates'!$B$43="Yes",AR30*0.287,0)</f>
        <v>0</v>
      </c>
      <c r="AT30" s="438">
        <f>IF('Study Information &amp; rates'!$B$43="No",0,AR30*0.05)</f>
        <v>0</v>
      </c>
      <c r="AU30" s="438">
        <f>IF('Study Information &amp; rates'!$B$44="No",AR30+AS30+AT30,'Set-up and other costs'!$B$18*(AR30+AS30+AT30))</f>
        <v>0</v>
      </c>
      <c r="BC30" s="447">
        <f>H30*G30</f>
        <v>0</v>
      </c>
      <c r="BD30" s="447">
        <f>IF('Study Information &amp; rates'!$B$43='Study Information &amp; rates'!$V$12,BC30*0.287,0)</f>
        <v>0</v>
      </c>
      <c r="BE30" s="447">
        <f>IF((Reconciliation!$C$15)&gt;5000,BC30*0.05,0)</f>
        <v>0</v>
      </c>
      <c r="BF30" s="447">
        <f>BC30+BD30+BE30</f>
        <v>0</v>
      </c>
      <c r="BG30" s="183" t="b">
        <f>IF($B30='Look Up'!$A$5,$H30)</f>
        <v>0</v>
      </c>
      <c r="BH30" s="183" t="b">
        <f>IF($B30='Look Up'!$A$6,$H30)</f>
        <v>0</v>
      </c>
      <c r="BI30" s="183" t="b">
        <f>IF($B30='Look Up'!$A$7,$H30)</f>
        <v>0</v>
      </c>
      <c r="BJ30" s="183" t="b">
        <f>IF($B30='Look Up'!$A$7,$H30)</f>
        <v>0</v>
      </c>
      <c r="BL30" s="183">
        <f>IF($B30='Look Up'!$A$6,$C30*$H30,0)+IF($B30='Look Up'!$A$7,$C30*$H30,0)</f>
        <v>0</v>
      </c>
      <c r="BM30" s="183">
        <f>IF($B30='Look Up'!$A$6,$D30*$H30,0)+IF($B30='Look Up'!$A$7,$D30*$H30,0)</f>
        <v>0</v>
      </c>
      <c r="BN30" s="183">
        <f>IF($B30='Look Up'!$A$6,$E30*$H30,0)+IF($B30='Look Up'!$A$7,$E30*$H30,0)</f>
        <v>0</v>
      </c>
      <c r="BO30" s="183">
        <f>IF($B30='Look Up'!$A$6,$F30*$H30,0)+IF($B30='Look Up'!$A$7,$F30*$H30,0)</f>
        <v>0</v>
      </c>
      <c r="BQ30" s="468">
        <f>$C30*'Study Information &amp; rates'!$B$101*IF('Study Information &amp; rates'!$B$43='Study Information &amp; rates'!$V$12,(SUM($H30:$AP30)*1.287),(SUM($H30:$AP30)))</f>
        <v>0</v>
      </c>
      <c r="BR30" s="468">
        <f>$D30*'Study Information &amp; rates'!$C$101*IF('Study Information &amp; rates'!$B$43='Study Information &amp; rates'!$V$12,(SUM($H30:$AP30)*1.287),(SUM($H30:$AP30)))</f>
        <v>0</v>
      </c>
      <c r="BS30" s="468">
        <f>$E30*'Study Information &amp; rates'!$D$101*IF('Study Information &amp; rates'!$B$43='Study Information &amp; rates'!$V$12,(SUM($H30:$AP30)*1.287),(SUM($H30:$AP30)))</f>
        <v>0</v>
      </c>
      <c r="BT30" s="468">
        <f>$F30*'Study Information &amp; rates'!$F$101*IF('Study Information &amp; rates'!$B$43='Study Information &amp; rates'!$V$12,(SUM($H30:$AP30)*1.287),(SUM($H30:$AP30)))</f>
        <v>0</v>
      </c>
      <c r="BU30" s="469">
        <f>AR30+AS30</f>
        <v>0</v>
      </c>
      <c r="BW30" s="183">
        <f>SUM(H30:AP30)</f>
        <v>0</v>
      </c>
    </row>
    <row r="31" spans="1:75">
      <c r="A31" s="8"/>
      <c r="B31" s="8"/>
      <c r="C31" s="311"/>
      <c r="D31" s="181"/>
      <c r="E31" s="311"/>
      <c r="F31" s="31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19"/>
      <c r="I31" s="319"/>
      <c r="J31" s="319"/>
      <c r="K31" s="319"/>
      <c r="L31" s="319"/>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35"/>
      <c r="AR31" s="438">
        <f>(SUM(H31:AP31))*G31</f>
        <v>0</v>
      </c>
      <c r="AS31" s="438">
        <f>IF('Study Information &amp; rates'!$B$43="Yes",AR31*0.287,0)</f>
        <v>0</v>
      </c>
      <c r="AT31" s="438">
        <f>IF('Study Information &amp; rates'!$B$43="No",0,AR31*0.05)</f>
        <v>0</v>
      </c>
      <c r="AU31" s="438">
        <f>IF('Study Information &amp; rates'!$B$44="No",AR31+AS31+AT31,'Set-up and other costs'!$B$18*(AR31+AS31+AT31))</f>
        <v>0</v>
      </c>
      <c r="BC31" s="447">
        <f>H31*G31</f>
        <v>0</v>
      </c>
      <c r="BD31" s="447">
        <f>IF('Study Information &amp; rates'!$B$43='Study Information &amp; rates'!$V$12,BC31*0.287,0)</f>
        <v>0</v>
      </c>
      <c r="BE31" s="447">
        <f>IF((Reconciliation!$C$15)&gt;5000,BC31*0.05,0)</f>
        <v>0</v>
      </c>
      <c r="BF31" s="447">
        <f>BC31+BD31+BE31</f>
        <v>0</v>
      </c>
      <c r="BG31" s="183" t="b">
        <f>IF($B31='Look Up'!$A$5,$H31)</f>
        <v>0</v>
      </c>
      <c r="BH31" s="183" t="b">
        <f>IF($B31='Look Up'!$A$6,$H31)</f>
        <v>0</v>
      </c>
      <c r="BI31" s="183" t="b">
        <f>IF($B31='Look Up'!$A$7,$H31)</f>
        <v>0</v>
      </c>
      <c r="BJ31" s="183" t="b">
        <f>IF($B31='Look Up'!$A$7,$H31)</f>
        <v>0</v>
      </c>
      <c r="BL31" s="183">
        <f>IF($B31='Look Up'!$A$6,$C31*$H31,0)+IF($B31='Look Up'!$A$7,$C31*$H31,0)</f>
        <v>0</v>
      </c>
      <c r="BM31" s="183">
        <f>IF($B31='Look Up'!$A$6,$D31*$H31,0)+IF($B31='Look Up'!$A$7,$D31*$H31,0)</f>
        <v>0</v>
      </c>
      <c r="BN31" s="183">
        <f>IF($B31='Look Up'!$A$6,$E31*$H31,0)+IF($B31='Look Up'!$A$7,$E31*$H31,0)</f>
        <v>0</v>
      </c>
      <c r="BO31" s="183">
        <f>IF($B31='Look Up'!$A$6,$F31*$H31,0)+IF($B31='Look Up'!$A$7,$F31*$H31,0)</f>
        <v>0</v>
      </c>
      <c r="BQ31" s="468">
        <f>$C31*'Study Information &amp; rates'!$B$101*IF('Study Information &amp; rates'!$B$43='Study Information &amp; rates'!$V$12,(SUM($H31:$AP31)*1.287),(SUM($H31:$AP31)))</f>
        <v>0</v>
      </c>
      <c r="BR31" s="468">
        <f>$D31*'Study Information &amp; rates'!$C$101*IF('Study Information &amp; rates'!$B$43='Study Information &amp; rates'!$V$12,(SUM($H31:$AP31)*1.287),(SUM($H31:$AP31)))</f>
        <v>0</v>
      </c>
      <c r="BS31" s="468">
        <f>$E31*'Study Information &amp; rates'!$D$101*IF('Study Information &amp; rates'!$B$43='Study Information &amp; rates'!$V$12,(SUM($H31:$AP31)*1.287),(SUM($H31:$AP31)))</f>
        <v>0</v>
      </c>
      <c r="BT31" s="468">
        <f>$F31*'Study Information &amp; rates'!$F$101*IF('Study Information &amp; rates'!$B$43='Study Information &amp; rates'!$V$12,(SUM($H31:$AP31)*1.287),(SUM($H31:$AP31)))</f>
        <v>0</v>
      </c>
      <c r="BU31" s="469">
        <f>AR31+AS31</f>
        <v>0</v>
      </c>
      <c r="BW31" s="183">
        <f>SUM(H31:AP31)</f>
        <v>0</v>
      </c>
    </row>
    <row r="32" spans="1:75">
      <c r="A32" s="8"/>
      <c r="B32" s="8"/>
      <c r="C32" s="181"/>
      <c r="D32" s="181"/>
      <c r="E32" s="181"/>
      <c r="F32" s="18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35"/>
      <c r="AR32" s="438">
        <f>(SUM(H32:AP32))*G32</f>
        <v>0</v>
      </c>
      <c r="AS32" s="438">
        <f>IF('Study Information &amp; rates'!$B$43="Yes",AR32*0.287,0)</f>
        <v>0</v>
      </c>
      <c r="AT32" s="438">
        <f>IF('Study Information &amp; rates'!$B$43="No",0,AR32*0.05)</f>
        <v>0</v>
      </c>
      <c r="AU32" s="438">
        <f>IF('Study Information &amp; rates'!$B$44="No",AR32+AS32+AT32,'Set-up and other costs'!$B$18*(AR32+AS32+AT32))</f>
        <v>0</v>
      </c>
      <c r="BC32" s="447">
        <f>H32*G32</f>
        <v>0</v>
      </c>
      <c r="BD32" s="447">
        <f>IF('Study Information &amp; rates'!$B$43='Study Information &amp; rates'!$V$12,BC32*0.287,0)</f>
        <v>0</v>
      </c>
      <c r="BE32" s="447">
        <f>IF((Reconciliation!$C$15)&gt;5000,BC32*0.05,0)</f>
        <v>0</v>
      </c>
      <c r="BF32" s="447">
        <f>BC32+BD32+BE32</f>
        <v>0</v>
      </c>
      <c r="BG32" s="183" t="b">
        <f>IF($B32='Look Up'!$A$5,$H32)</f>
        <v>0</v>
      </c>
      <c r="BH32" s="183" t="b">
        <f>IF($B32='Look Up'!$A$6,$H32)</f>
        <v>0</v>
      </c>
      <c r="BI32" s="183" t="b">
        <f>IF($B32='Look Up'!$A$7,$H32)</f>
        <v>0</v>
      </c>
      <c r="BJ32" s="183" t="b">
        <f>IF($B32='Look Up'!$A$7,$H32)</f>
        <v>0</v>
      </c>
      <c r="BL32" s="183">
        <f>IF($B32='Look Up'!$A$6,$C32*$H32,0)+IF($B32='Look Up'!$A$7,$C32*$H32,0)</f>
        <v>0</v>
      </c>
      <c r="BM32" s="183">
        <f>IF($B32='Look Up'!$A$6,$D32*$H32,0)+IF($B32='Look Up'!$A$7,$D32*$H32,0)</f>
        <v>0</v>
      </c>
      <c r="BN32" s="183">
        <f>IF($B32='Look Up'!$A$6,$E32*$H32,0)+IF($B32='Look Up'!$A$7,$E32*$H32,0)</f>
        <v>0</v>
      </c>
      <c r="BO32" s="183">
        <f>IF($B32='Look Up'!$A$6,$F32*$H32,0)+IF($B32='Look Up'!$A$7,$F32*$H32,0)</f>
        <v>0</v>
      </c>
      <c r="BQ32" s="468">
        <f>$C32*'Study Information &amp; rates'!$B$101*IF('Study Information &amp; rates'!$B$43='Study Information &amp; rates'!$V$12,(SUM($H32:$AP32)*1.287),(SUM($H32:$AP32)))</f>
        <v>0</v>
      </c>
      <c r="BR32" s="468">
        <f>$D32*'Study Information &amp; rates'!$C$101*IF('Study Information &amp; rates'!$B$43='Study Information &amp; rates'!$V$12,(SUM($H32:$AP32)*1.287),(SUM($H32:$AP32)))</f>
        <v>0</v>
      </c>
      <c r="BS32" s="468">
        <f>$E32*'Study Information &amp; rates'!$D$101*IF('Study Information &amp; rates'!$B$43='Study Information &amp; rates'!$V$12,(SUM($H32:$AP32)*1.287),(SUM($H32:$AP32)))</f>
        <v>0</v>
      </c>
      <c r="BT32" s="468">
        <f>$F32*'Study Information &amp; rates'!$F$101*IF('Study Information &amp; rates'!$B$43='Study Information &amp; rates'!$V$12,(SUM($H32:$AP32)*1.287),(SUM($H32:$AP32)))</f>
        <v>0</v>
      </c>
      <c r="BU32" s="469">
        <f>AR32+AS32</f>
        <v>0</v>
      </c>
      <c r="BW32" s="183">
        <f>SUM(H32:AP32)</f>
        <v>0</v>
      </c>
    </row>
    <row r="33" spans="1:75">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35"/>
      <c r="AR33" s="438">
        <f>(SUM(H33:AP33))*G33</f>
        <v>0</v>
      </c>
      <c r="AS33" s="438">
        <f>IF('Study Information &amp; rates'!$B$43="Yes",AR33*0.287,0)</f>
        <v>0</v>
      </c>
      <c r="AT33" s="438">
        <f>IF('Study Information &amp; rates'!$B$43="No",0,AR33*0.05)</f>
        <v>0</v>
      </c>
      <c r="AU33" s="438">
        <f>IF('Study Information &amp; rates'!$B$44="No",AR33+AS33+AT33,'Set-up and other costs'!$B$18*(AR33+AS33+AT33))</f>
        <v>0</v>
      </c>
      <c r="BC33" s="447">
        <f>H33*G33</f>
        <v>0</v>
      </c>
      <c r="BD33" s="447">
        <f>IF('Study Information &amp; rates'!$B$43='Study Information &amp; rates'!$V$12,BC33*0.287,0)</f>
        <v>0</v>
      </c>
      <c r="BE33" s="447">
        <f>IF((Reconciliation!$C$15)&gt;5000,BC33*0.05,0)</f>
        <v>0</v>
      </c>
      <c r="BF33" s="447">
        <f>BC33+BD33+BE33</f>
        <v>0</v>
      </c>
      <c r="BG33" s="183" t="b">
        <f>IF($B33='Look Up'!$A$5,$H33)</f>
        <v>0</v>
      </c>
      <c r="BH33" s="183" t="b">
        <f>IF($B33='Look Up'!$A$6,$H33)</f>
        <v>0</v>
      </c>
      <c r="BI33" s="183" t="b">
        <f>IF($B33='Look Up'!$A$7,$H33)</f>
        <v>0</v>
      </c>
      <c r="BJ33" s="183" t="b">
        <f>IF($B33='Look Up'!$A$7,$H33)</f>
        <v>0</v>
      </c>
      <c r="BL33" s="183">
        <f>IF($B33='Look Up'!$A$6,$C33*$H33,0)+IF($B33='Look Up'!$A$7,$C33*$H33,0)</f>
        <v>0</v>
      </c>
      <c r="BM33" s="183">
        <f>IF($B33='Look Up'!$A$6,$D33*$H33,0)+IF($B33='Look Up'!$A$7,$D33*$H33,0)</f>
        <v>0</v>
      </c>
      <c r="BN33" s="183">
        <f>IF($B33='Look Up'!$A$6,$E33*$H33,0)+IF($B33='Look Up'!$A$7,$E33*$H33,0)</f>
        <v>0</v>
      </c>
      <c r="BO33" s="183">
        <f>IF($B33='Look Up'!$A$6,$F33*$H33,0)+IF($B33='Look Up'!$A$7,$F33*$H33,0)</f>
        <v>0</v>
      </c>
      <c r="BQ33" s="468">
        <f>$C33*'Study Information &amp; rates'!$B$101*IF('Study Information &amp; rates'!$B$43='Study Information &amp; rates'!$V$12,(SUM($H33:$AP33)*1.287),(SUM($H33:$AP33)))</f>
        <v>0</v>
      </c>
      <c r="BR33" s="468">
        <f>$D33*'Study Information &amp; rates'!$C$101*IF('Study Information &amp; rates'!$B$43='Study Information &amp; rates'!$V$12,(SUM($H33:$AP33)*1.287),(SUM($H33:$AP33)))</f>
        <v>0</v>
      </c>
      <c r="BS33" s="468">
        <f>$E33*'Study Information &amp; rates'!$D$101*IF('Study Information &amp; rates'!$B$43='Study Information &amp; rates'!$V$12,(SUM($H33:$AP33)*1.287),(SUM($H33:$AP33)))</f>
        <v>0</v>
      </c>
      <c r="BT33" s="468">
        <f>$F33*'Study Information &amp; rates'!$F$101*IF('Study Information &amp; rates'!$B$43='Study Information &amp; rates'!$V$12,(SUM($H33:$AP33)*1.287),(SUM($H33:$AP33)))</f>
        <v>0</v>
      </c>
      <c r="BU33" s="469">
        <f>AR33+AS33</f>
        <v>0</v>
      </c>
      <c r="BW33" s="183">
        <f>SUM(H33:AP33)</f>
        <v>0</v>
      </c>
    </row>
    <row r="34" spans="1:75">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35"/>
      <c r="AR34" s="438">
        <f>(SUM(H34:AP34))*G34</f>
        <v>0</v>
      </c>
      <c r="AS34" s="438">
        <f>IF('Study Information &amp; rates'!$B$43="Yes",AR34*0.287,0)</f>
        <v>0</v>
      </c>
      <c r="AT34" s="438">
        <f>IF('Study Information &amp; rates'!$B$43="No",0,AR34*0.05)</f>
        <v>0</v>
      </c>
      <c r="AU34" s="438">
        <f>IF('Study Information &amp; rates'!$B$44="No",AR34+AS34+AT34,'Set-up and other costs'!$B$18*(AR34+AS34+AT34))</f>
        <v>0</v>
      </c>
      <c r="BC34" s="447">
        <f>H34*G34</f>
        <v>0</v>
      </c>
      <c r="BD34" s="447">
        <f>IF('Study Information &amp; rates'!$B$43='Study Information &amp; rates'!$V$12,BC34*0.287,0)</f>
        <v>0</v>
      </c>
      <c r="BE34" s="447">
        <f>IF((Reconciliation!$C$15)&gt;5000,BC34*0.05,0)</f>
        <v>0</v>
      </c>
      <c r="BF34" s="447">
        <f>BC34+BD34+BE34</f>
        <v>0</v>
      </c>
      <c r="BG34" s="183" t="b">
        <f>IF($B34='Look Up'!$A$5,$H34)</f>
        <v>0</v>
      </c>
      <c r="BH34" s="183" t="b">
        <f>IF($B34='Look Up'!$A$6,$H34)</f>
        <v>0</v>
      </c>
      <c r="BI34" s="183" t="b">
        <f>IF($B34='Look Up'!$A$7,$H34)</f>
        <v>0</v>
      </c>
      <c r="BJ34" s="183" t="b">
        <f>IF($B34='Look Up'!$A$7,$H34)</f>
        <v>0</v>
      </c>
      <c r="BL34" s="183">
        <f>IF($B34='Look Up'!$A$6,$C34*$H34,0)+IF($B34='Look Up'!$A$7,$C34*$H34,0)</f>
        <v>0</v>
      </c>
      <c r="BM34" s="183">
        <f>IF($B34='Look Up'!$A$6,$D34*$H34,0)+IF($B34='Look Up'!$A$7,$D34*$H34,0)</f>
        <v>0</v>
      </c>
      <c r="BN34" s="183">
        <f>IF($B34='Look Up'!$A$6,$E34*$H34,0)+IF($B34='Look Up'!$A$7,$E34*$H34,0)</f>
        <v>0</v>
      </c>
      <c r="BO34" s="183">
        <f>IF($B34='Look Up'!$A$6,$F34*$H34,0)+IF($B34='Look Up'!$A$7,$F34*$H34,0)</f>
        <v>0</v>
      </c>
      <c r="BQ34" s="468">
        <f>$C34*'Study Information &amp; rates'!$B$101*IF('Study Information &amp; rates'!$B$43='Study Information &amp; rates'!$V$12,(SUM($H34:$AP34)*1.287),(SUM($H34:$AP34)))</f>
        <v>0</v>
      </c>
      <c r="BR34" s="468">
        <f>$D34*'Study Information &amp; rates'!$C$101*IF('Study Information &amp; rates'!$B$43='Study Information &amp; rates'!$V$12,(SUM($H34:$AP34)*1.287),(SUM($H34:$AP34)))</f>
        <v>0</v>
      </c>
      <c r="BS34" s="468">
        <f>$E34*'Study Information &amp; rates'!$D$101*IF('Study Information &amp; rates'!$B$43='Study Information &amp; rates'!$V$12,(SUM($H34:$AP34)*1.287),(SUM($H34:$AP34)))</f>
        <v>0</v>
      </c>
      <c r="BT34" s="468">
        <f>$F34*'Study Information &amp; rates'!$F$101*IF('Study Information &amp; rates'!$B$43='Study Information &amp; rates'!$V$12,(SUM($H34:$AP34)*1.287),(SUM($H34:$AP34)))</f>
        <v>0</v>
      </c>
      <c r="BU34" s="469">
        <f>AR34+AS34</f>
        <v>0</v>
      </c>
      <c r="BW34" s="183">
        <f>SUM(H34:AP34)</f>
        <v>0</v>
      </c>
    </row>
    <row r="35" spans="1:75">
      <c r="A35" s="8"/>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35"/>
      <c r="AR35" s="438">
        <f>(SUM(H35:AP35))*G35</f>
        <v>0</v>
      </c>
      <c r="AS35" s="438">
        <f>IF('Study Information &amp; rates'!$B$43="Yes",AR35*0.287,0)</f>
        <v>0</v>
      </c>
      <c r="AT35" s="438">
        <f>IF('Study Information &amp; rates'!$B$43="No",0,AR35*0.05)</f>
        <v>0</v>
      </c>
      <c r="AU35" s="438">
        <f>IF('Study Information &amp; rates'!$B$44="No",AR35+AS35+AT35,'Set-up and other costs'!$B$18*(AR35+AS35+AT35))</f>
        <v>0</v>
      </c>
      <c r="BC35" s="447">
        <f>H35*G35</f>
        <v>0</v>
      </c>
      <c r="BD35" s="447">
        <f>IF('Study Information &amp; rates'!$B$43='Study Information &amp; rates'!$V$12,BC35*0.287,0)</f>
        <v>0</v>
      </c>
      <c r="BE35" s="447">
        <f>IF((Reconciliation!$C$15)&gt;5000,BC35*0.05,0)</f>
        <v>0</v>
      </c>
      <c r="BF35" s="447">
        <f>BC35+BD35+BE35</f>
        <v>0</v>
      </c>
      <c r="BG35" s="183" t="b">
        <f>IF($B35='Look Up'!$A$5,$H35)</f>
        <v>0</v>
      </c>
      <c r="BH35" s="183" t="b">
        <f>IF($B35='Look Up'!$A$6,$H35)</f>
        <v>0</v>
      </c>
      <c r="BI35" s="183" t="b">
        <f>IF($B35='Look Up'!$A$7,$H35)</f>
        <v>0</v>
      </c>
      <c r="BJ35" s="183" t="b">
        <f>IF($B35='Look Up'!$A$7,$H35)</f>
        <v>0</v>
      </c>
      <c r="BL35" s="183">
        <f>IF($B35='[7]Look Up'!$A$6,$C35*$H35,0)+IF($B35='[7]Look Up'!$A$7,$C35*$H35,0)</f>
        <v>0</v>
      </c>
      <c r="BM35" s="183">
        <f>IF($B35='[7]Look Up'!$A$6,$D35*$H35,0)+IF($B35='[7]Look Up'!$A$7,$D35*$H35,0)</f>
        <v>0</v>
      </c>
      <c r="BN35" s="183">
        <f>IF($B35='[7]Look Up'!$A$6,$E35*$H35,0)+IF($B35='[7]Look Up'!$A$7,$E35*$H35,0)</f>
        <v>0</v>
      </c>
      <c r="BO35" s="183">
        <f>IF($B35='[7]Look Up'!$A$6,$F35*$H35,0)+IF($B35='[7]Look Up'!$A$7,$F35*$H35,0)</f>
        <v>0</v>
      </c>
      <c r="BQ35" s="468">
        <f>$C35*'Study Information &amp; rates'!$B$101*IF('Study Information &amp; rates'!$B$43='Study Information &amp; rates'!$V$12,(SUM($H35:$AP35)*1.287),(SUM($H35:$AP35)))</f>
        <v>0</v>
      </c>
      <c r="BR35" s="468">
        <f>$D35*'Study Information &amp; rates'!$C$101*IF('Study Information &amp; rates'!$B$43='Study Information &amp; rates'!$V$12,(SUM($H35:$AP35)*1.287),(SUM($H35:$AP35)))</f>
        <v>0</v>
      </c>
      <c r="BS35" s="468">
        <f>$E35*'Study Information &amp; rates'!$D$101*IF('Study Information &amp; rates'!$B$43='Study Information &amp; rates'!$V$12,(SUM($H35:$AP35)*1.287),(SUM($H35:$AP35)))</f>
        <v>0</v>
      </c>
      <c r="BT35" s="468">
        <f>$F35*'Study Information &amp; rates'!$F$101*IF('Study Information &amp; rates'!$B$43='Study Information &amp; rates'!$V$12,(SUM($H35:$AP35)*1.287),(SUM($H35:$AP35)))</f>
        <v>0</v>
      </c>
      <c r="BU35" s="469">
        <f>AR35+AS35</f>
        <v>0</v>
      </c>
      <c r="BW35" s="183">
        <f>SUM(H35:AP35)</f>
        <v>0</v>
      </c>
    </row>
    <row r="36" spans="1:75">
      <c r="A36" s="8"/>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35"/>
      <c r="AR36" s="438">
        <f>(SUM(H36:AP36))*G36</f>
        <v>0</v>
      </c>
      <c r="AS36" s="438">
        <f>IF('Study Information &amp; rates'!$B$43="Yes",AR36*0.287,0)</f>
        <v>0</v>
      </c>
      <c r="AT36" s="438">
        <f>IF('Study Information &amp; rates'!$B$43="No",0,AR36*0.05)</f>
        <v>0</v>
      </c>
      <c r="AU36" s="438">
        <f>IF('Study Information &amp; rates'!$B$44="No",AR36+AS36+AT36,'Set-up and other costs'!$B$18*(AR36+AS36+AT36))</f>
        <v>0</v>
      </c>
      <c r="BC36" s="447">
        <f>H36*G36</f>
        <v>0</v>
      </c>
      <c r="BD36" s="447">
        <f>IF('Study Information &amp; rates'!$B$43='Study Information &amp; rates'!$V$12,BC36*0.287,0)</f>
        <v>0</v>
      </c>
      <c r="BE36" s="447">
        <f>IF((Reconciliation!$C$15)&gt;5000,BC36*0.05,0)</f>
        <v>0</v>
      </c>
      <c r="BF36" s="447">
        <f>BC36+BD36+BE36</f>
        <v>0</v>
      </c>
      <c r="BG36" s="183" t="b">
        <f>IF($B36='Look Up'!$A$5,$H36)</f>
        <v>0</v>
      </c>
      <c r="BH36" s="183" t="b">
        <f>IF($B36='Look Up'!$A$6,$H36)</f>
        <v>0</v>
      </c>
      <c r="BI36" s="183" t="b">
        <f>IF($B36='Look Up'!$A$7,$H36)</f>
        <v>0</v>
      </c>
      <c r="BJ36" s="183" t="b">
        <f>IF($B36='Look Up'!$A$7,$H36)</f>
        <v>0</v>
      </c>
      <c r="BL36" s="183">
        <f>IF($B36='[7]Look Up'!$A$6,$C36*$H36,0)+IF($B36='[7]Look Up'!$A$7,$C36*$H36,0)</f>
        <v>0</v>
      </c>
      <c r="BM36" s="183">
        <f>IF($B36='[7]Look Up'!$A$6,$D36*$H36,0)+IF($B36='[7]Look Up'!$A$7,$D36*$H36,0)</f>
        <v>0</v>
      </c>
      <c r="BN36" s="183">
        <f>IF($B36='[7]Look Up'!$A$6,$E36*$H36,0)+IF($B36='[7]Look Up'!$A$7,$E36*$H36,0)</f>
        <v>0</v>
      </c>
      <c r="BO36" s="183">
        <f>IF($B36='[7]Look Up'!$A$6,$F36*$H36,0)+IF($B36='[7]Look Up'!$A$7,$F36*$H36,0)</f>
        <v>0</v>
      </c>
      <c r="BQ36" s="468">
        <f>$C36*'Study Information &amp; rates'!$B$101*IF('Study Information &amp; rates'!$B$43='Study Information &amp; rates'!$V$12,(SUM($H36:$AP36)*1.287),(SUM($H36:$AP36)))</f>
        <v>0</v>
      </c>
      <c r="BR36" s="468">
        <f>$D36*'Study Information &amp; rates'!$C$101*IF('Study Information &amp; rates'!$B$43='Study Information &amp; rates'!$V$12,(SUM($H36:$AP36)*1.287),(SUM($H36:$AP36)))</f>
        <v>0</v>
      </c>
      <c r="BS36" s="468">
        <f>$E36*'Study Information &amp; rates'!$D$101*IF('Study Information &amp; rates'!$B$43='Study Information &amp; rates'!$V$12,(SUM($H36:$AP36)*1.287),(SUM($H36:$AP36)))</f>
        <v>0</v>
      </c>
      <c r="BT36" s="468">
        <f>$F36*'Study Information &amp; rates'!$F$101*IF('Study Information &amp; rates'!$B$43='Study Information &amp; rates'!$V$12,(SUM($H36:$AP36)*1.287),(SUM($H36:$AP36)))</f>
        <v>0</v>
      </c>
      <c r="BU36" s="469">
        <f>AR36+AS36</f>
        <v>0</v>
      </c>
      <c r="BW36" s="183">
        <f>SUM(H36:AP36)</f>
        <v>0</v>
      </c>
    </row>
    <row r="37" spans="1:75">
      <c r="A37" s="8"/>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35"/>
      <c r="AR37" s="438">
        <f>(SUM(H37:AP37))*G37</f>
        <v>0</v>
      </c>
      <c r="AS37" s="438">
        <f>IF('Study Information &amp; rates'!$B$43="Yes",AR37*0.287,0)</f>
        <v>0</v>
      </c>
      <c r="AT37" s="438">
        <f>IF('Study Information &amp; rates'!$B$43="No",0,AR37*0.05)</f>
        <v>0</v>
      </c>
      <c r="AU37" s="438">
        <f>IF('Study Information &amp; rates'!$B$44="No",AR37+AS37+AT37,'Set-up and other costs'!$B$18*(AR37+AS37+AT37))</f>
        <v>0</v>
      </c>
      <c r="BC37" s="447">
        <f>H37*G37</f>
        <v>0</v>
      </c>
      <c r="BD37" s="447">
        <f>IF('Study Information &amp; rates'!$B$43='Study Information &amp; rates'!$V$12,BC37*0.287,0)</f>
        <v>0</v>
      </c>
      <c r="BE37" s="447">
        <f>IF((Reconciliation!$C$15)&gt;5000,BC37*0.05,0)</f>
        <v>0</v>
      </c>
      <c r="BF37" s="447">
        <f>BC37+BD37+BE37</f>
        <v>0</v>
      </c>
      <c r="BG37" s="183" t="b">
        <f>IF($B37='Look Up'!$A$5,$H37)</f>
        <v>0</v>
      </c>
      <c r="BH37" s="183" t="b">
        <f>IF($B37='Look Up'!$A$6,$H37)</f>
        <v>0</v>
      </c>
      <c r="BI37" s="183" t="b">
        <f>IF($B37='Look Up'!$A$7,$H37)</f>
        <v>0</v>
      </c>
      <c r="BJ37" s="183" t="b">
        <f>IF($B37='Look Up'!$A$7,$H37)</f>
        <v>0</v>
      </c>
      <c r="BL37" s="183">
        <f>IF($B37='[7]Look Up'!$A$6,$C37*$H37,0)+IF($B37='[7]Look Up'!$A$7,$C37*$H37,0)</f>
        <v>0</v>
      </c>
      <c r="BM37" s="183">
        <f>IF($B37='[7]Look Up'!$A$6,$D37*$H37,0)+IF($B37='[7]Look Up'!$A$7,$D37*$H37,0)</f>
        <v>0</v>
      </c>
      <c r="BN37" s="183">
        <f>IF($B37='[7]Look Up'!$A$6,$E37*$H37,0)+IF($B37='[7]Look Up'!$A$7,$E37*$H37,0)</f>
        <v>0</v>
      </c>
      <c r="BO37" s="183">
        <f>IF($B37='[7]Look Up'!$A$6,$F37*$H37,0)+IF($B37='[7]Look Up'!$A$7,$F37*$H37,0)</f>
        <v>0</v>
      </c>
      <c r="BQ37" s="468">
        <f>$C37*'Study Information &amp; rates'!$B$101*IF('Study Information &amp; rates'!$B$43='Study Information &amp; rates'!$V$12,(SUM($H37:$AP37)*1.287),(SUM($H37:$AP37)))</f>
        <v>0</v>
      </c>
      <c r="BR37" s="468">
        <f>$D37*'Study Information &amp; rates'!$C$101*IF('Study Information &amp; rates'!$B$43='Study Information &amp; rates'!$V$12,(SUM($H37:$AP37)*1.287),(SUM($H37:$AP37)))</f>
        <v>0</v>
      </c>
      <c r="BS37" s="468">
        <f>$E37*'Study Information &amp; rates'!$D$101*IF('Study Information &amp; rates'!$B$43='Study Information &amp; rates'!$V$12,(SUM($H37:$AP37)*1.287),(SUM($H37:$AP37)))</f>
        <v>0</v>
      </c>
      <c r="BT37" s="468">
        <f>$F37*'Study Information &amp; rates'!$F$101*IF('Study Information &amp; rates'!$B$43='Study Information &amp; rates'!$V$12,(SUM($H37:$AP37)*1.287),(SUM($H37:$AP37)))</f>
        <v>0</v>
      </c>
      <c r="BU37" s="469">
        <f>AR37+AS37</f>
        <v>0</v>
      </c>
      <c r="BW37" s="183">
        <f>SUM(H37:AP37)</f>
        <v>0</v>
      </c>
    </row>
    <row r="38" spans="1:75">
      <c r="A38" s="8"/>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35"/>
      <c r="AR38" s="438">
        <f>(SUM(H38:AP38))*G38</f>
        <v>0</v>
      </c>
      <c r="AS38" s="438">
        <f>IF('Study Information &amp; rates'!$B$43="Yes",AR38*0.287,0)</f>
        <v>0</v>
      </c>
      <c r="AT38" s="438">
        <f>IF('Study Information &amp; rates'!$B$43="No",0,AR38*0.05)</f>
        <v>0</v>
      </c>
      <c r="AU38" s="438">
        <f>IF('Study Information &amp; rates'!$B$44="No",AR38+AS38+AT38,'Set-up and other costs'!$B$18*(AR38+AS38+AT38))</f>
        <v>0</v>
      </c>
      <c r="BC38" s="447">
        <f>H38*G38</f>
        <v>0</v>
      </c>
      <c r="BD38" s="447">
        <f>IF('Study Information &amp; rates'!$B$43='Study Information &amp; rates'!$V$12,BC38*0.287,0)</f>
        <v>0</v>
      </c>
      <c r="BE38" s="447">
        <f>IF((Reconciliation!$C$15)&gt;5000,BC38*0.05,0)</f>
        <v>0</v>
      </c>
      <c r="BF38" s="447">
        <f>BC38+BD38+BE38</f>
        <v>0</v>
      </c>
      <c r="BG38" s="183" t="b">
        <f>IF($B38='Look Up'!$A$5,$H38)</f>
        <v>0</v>
      </c>
      <c r="BH38" s="183" t="b">
        <f>IF($B38='Look Up'!$A$6,$H38)</f>
        <v>0</v>
      </c>
      <c r="BI38" s="183" t="b">
        <f>IF($B38='Look Up'!$A$7,$H38)</f>
        <v>0</v>
      </c>
      <c r="BJ38" s="183" t="b">
        <f>IF($B38='Look Up'!$A$7,$H38)</f>
        <v>0</v>
      </c>
      <c r="BL38" s="183">
        <f>IF($B38='[7]Look Up'!$A$6,$C38*$H38,0)+IF($B38='[7]Look Up'!$A$7,$C38*$H38,0)</f>
        <v>0</v>
      </c>
      <c r="BM38" s="183">
        <f>IF($B38='[7]Look Up'!$A$6,$D38*$H38,0)+IF($B38='[7]Look Up'!$A$7,$D38*$H38,0)</f>
        <v>0</v>
      </c>
      <c r="BN38" s="183">
        <f>IF($B38='[7]Look Up'!$A$6,$E38*$H38,0)+IF($B38='[7]Look Up'!$A$7,$E38*$H38,0)</f>
        <v>0</v>
      </c>
      <c r="BO38" s="183">
        <f>IF($B38='[7]Look Up'!$A$6,$F38*$H38,0)+IF($B38='[7]Look Up'!$A$7,$F38*$H38,0)</f>
        <v>0</v>
      </c>
      <c r="BQ38" s="468">
        <f>$C38*'Study Information &amp; rates'!$B$101*IF('Study Information &amp; rates'!$B$43='Study Information &amp; rates'!$V$12,(SUM($H38:$AP38)*1.287),(SUM($H38:$AP38)))</f>
        <v>0</v>
      </c>
      <c r="BR38" s="468">
        <f>$D38*'Study Information &amp; rates'!$C$101*IF('Study Information &amp; rates'!$B$43='Study Information &amp; rates'!$V$12,(SUM($H38:$AP38)*1.287),(SUM($H38:$AP38)))</f>
        <v>0</v>
      </c>
      <c r="BS38" s="468">
        <f>$E38*'Study Information &amp; rates'!$D$101*IF('Study Information &amp; rates'!$B$43='Study Information &amp; rates'!$V$12,(SUM($H38:$AP38)*1.287),(SUM($H38:$AP38)))</f>
        <v>0</v>
      </c>
      <c r="BT38" s="468">
        <f>$F38*'Study Information &amp; rates'!$F$101*IF('Study Information &amp; rates'!$B$43='Study Information &amp; rates'!$V$12,(SUM($H38:$AP38)*1.287),(SUM($H38:$AP38)))</f>
        <v>0</v>
      </c>
      <c r="BU38" s="469">
        <f>AR38+AS38</f>
        <v>0</v>
      </c>
      <c r="BW38" s="183">
        <f>SUM(H38:AP38)</f>
        <v>0</v>
      </c>
    </row>
    <row r="39" spans="1:75">
      <c r="A39" s="8"/>
      <c r="B39" s="8"/>
      <c r="C39" s="181"/>
      <c r="D39" s="181"/>
      <c r="E39" s="18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35"/>
      <c r="AR39" s="438">
        <f>(SUM(H39:AP39))*G39</f>
        <v>0</v>
      </c>
      <c r="AS39" s="438">
        <f>IF('Study Information &amp; rates'!$B$43="Yes",AR39*0.287,0)</f>
        <v>0</v>
      </c>
      <c r="AT39" s="438">
        <f>IF('Study Information &amp; rates'!$B$43="No",0,AR39*0.05)</f>
        <v>0</v>
      </c>
      <c r="AU39" s="438">
        <f>IF('Study Information &amp; rates'!$B$44="No",AR39+AS39+AT39,'Set-up and other costs'!$B$18*(AR39+AS39+AT39))</f>
        <v>0</v>
      </c>
      <c r="BC39" s="447">
        <f>H39*G39</f>
        <v>0</v>
      </c>
      <c r="BD39" s="447">
        <f>IF('Study Information &amp; rates'!$B$43='Study Information &amp; rates'!$V$12,BC39*0.287,0)</f>
        <v>0</v>
      </c>
      <c r="BE39" s="447">
        <f>IF((Reconciliation!$C$15)&gt;5000,BC39*0.05,0)</f>
        <v>0</v>
      </c>
      <c r="BF39" s="447">
        <f>BC39+BD39+BE39</f>
        <v>0</v>
      </c>
      <c r="BG39" s="183" t="b">
        <f>IF($B39='Look Up'!$A$5,$H39)</f>
        <v>0</v>
      </c>
      <c r="BH39" s="183" t="b">
        <f>IF($B39='Look Up'!$A$6,$H39)</f>
        <v>0</v>
      </c>
      <c r="BI39" s="183" t="b">
        <f>IF($B39='Look Up'!$A$7,$H39)</f>
        <v>0</v>
      </c>
      <c r="BJ39" s="183" t="b">
        <f>IF($B39='Look Up'!$A$7,$H39)</f>
        <v>0</v>
      </c>
      <c r="BL39" s="183">
        <f>IF($B39='[7]Look Up'!$A$6,$C39*$H39,0)+IF($B39='[7]Look Up'!$A$7,$C39*$H39,0)</f>
        <v>0</v>
      </c>
      <c r="BM39" s="183">
        <f>IF($B39='[7]Look Up'!$A$6,$D39*$H39,0)+IF($B39='[7]Look Up'!$A$7,$D39*$H39,0)</f>
        <v>0</v>
      </c>
      <c r="BN39" s="183">
        <f>IF($B39='[7]Look Up'!$A$6,$E39*$H39,0)+IF($B39='[7]Look Up'!$A$7,$E39*$H39,0)</f>
        <v>0</v>
      </c>
      <c r="BO39" s="183">
        <f>IF($B39='[7]Look Up'!$A$6,$F39*$H39,0)+IF($B39='[7]Look Up'!$A$7,$F39*$H39,0)</f>
        <v>0</v>
      </c>
      <c r="BQ39" s="468">
        <f>$C39*'Study Information &amp; rates'!$B$101*IF('Study Information &amp; rates'!$B$43='Study Information &amp; rates'!$V$12,(SUM($H39:$AP39)*1.287),(SUM($H39:$AP39)))</f>
        <v>0</v>
      </c>
      <c r="BR39" s="468">
        <f>$D39*'Study Information &amp; rates'!$C$101*IF('Study Information &amp; rates'!$B$43='Study Information &amp; rates'!$V$12,(SUM($H39:$AP39)*1.287),(SUM($H39:$AP39)))</f>
        <v>0</v>
      </c>
      <c r="BS39" s="468">
        <f>$E39*'Study Information &amp; rates'!$D$101*IF('Study Information &amp; rates'!$B$43='Study Information &amp; rates'!$V$12,(SUM($H39:$AP39)*1.287),(SUM($H39:$AP39)))</f>
        <v>0</v>
      </c>
      <c r="BT39" s="468">
        <f>$F39*'Study Information &amp; rates'!$F$101*IF('Study Information &amp; rates'!$B$43='Study Information &amp; rates'!$V$12,(SUM($H39:$AP39)*1.287),(SUM($H39:$AP39)))</f>
        <v>0</v>
      </c>
      <c r="BU39" s="469">
        <f>AR39+AS39</f>
        <v>0</v>
      </c>
      <c r="BW39" s="183">
        <f>SUM(H39:AP39)</f>
        <v>0</v>
      </c>
    </row>
    <row r="40" spans="1:75">
      <c r="A40" s="8"/>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35"/>
      <c r="AR40" s="438">
        <f>(SUM(H40:AP40))*G40</f>
        <v>0</v>
      </c>
      <c r="AS40" s="438">
        <f>IF('Study Information &amp; rates'!$B$43="Yes",AR40*0.287,0)</f>
        <v>0</v>
      </c>
      <c r="AT40" s="438">
        <f>IF('Study Information &amp; rates'!$B$43="No",0,AR40*0.05)</f>
        <v>0</v>
      </c>
      <c r="AU40" s="438">
        <f>IF('Study Information &amp; rates'!$B$44="No",AR40+AS40+AT40,'Set-up and other costs'!$B$18*(AR40+AS40+AT40))</f>
        <v>0</v>
      </c>
      <c r="BC40" s="447">
        <f>H40*G40</f>
        <v>0</v>
      </c>
      <c r="BD40" s="447">
        <f>IF('Study Information &amp; rates'!$B$43='Study Information &amp; rates'!$V$12,BC40*0.287,0)</f>
        <v>0</v>
      </c>
      <c r="BE40" s="447">
        <f>IF((Reconciliation!$C$15)&gt;5000,BC40*0.05,0)</f>
        <v>0</v>
      </c>
      <c r="BF40" s="447">
        <f>BC40+BD40+BE40</f>
        <v>0</v>
      </c>
      <c r="BG40" s="183" t="b">
        <f>IF($B40='Look Up'!$A$5,$H40)</f>
        <v>0</v>
      </c>
      <c r="BH40" s="183" t="b">
        <f>IF($B40='Look Up'!$A$6,$H40)</f>
        <v>0</v>
      </c>
      <c r="BI40" s="183" t="b">
        <f>IF($B40='Look Up'!$A$7,$H40)</f>
        <v>0</v>
      </c>
      <c r="BJ40" s="183" t="b">
        <f>IF($B40='Look Up'!$A$7,$H40)</f>
        <v>0</v>
      </c>
      <c r="BL40" s="183">
        <f>IF($B40='[7]Look Up'!$A$6,$C40*$H40,0)+IF($B40='[7]Look Up'!$A$7,$C40*$H40,0)</f>
        <v>0</v>
      </c>
      <c r="BM40" s="183">
        <f>IF($B40='[7]Look Up'!$A$6,$D40*$H40,0)+IF($B40='[7]Look Up'!$A$7,$D40*$H40,0)</f>
        <v>0</v>
      </c>
      <c r="BN40" s="183">
        <f>IF($B40='[7]Look Up'!$A$6,$E40*$H40,0)+IF($B40='[7]Look Up'!$A$7,$E40*$H40,0)</f>
        <v>0</v>
      </c>
      <c r="BO40" s="183">
        <f>IF($B40='[7]Look Up'!$A$6,$F40*$H40,0)+IF($B40='[7]Look Up'!$A$7,$F40*$H40,0)</f>
        <v>0</v>
      </c>
      <c r="BQ40" s="468">
        <f>$C40*'Study Information &amp; rates'!$B$101*IF('Study Information &amp; rates'!$B$43='Study Information &amp; rates'!$V$12,(SUM($H40:$AP40)*1.287),(SUM($H40:$AP40)))</f>
        <v>0</v>
      </c>
      <c r="BR40" s="468">
        <f>$D40*'Study Information &amp; rates'!$C$101*IF('Study Information &amp; rates'!$B$43='Study Information &amp; rates'!$V$12,(SUM($H40:$AP40)*1.287),(SUM($H40:$AP40)))</f>
        <v>0</v>
      </c>
      <c r="BS40" s="468">
        <f>$E40*'Study Information &amp; rates'!$D$101*IF('Study Information &amp; rates'!$B$43='Study Information &amp; rates'!$V$12,(SUM($H40:$AP40)*1.287),(SUM($H40:$AP40)))</f>
        <v>0</v>
      </c>
      <c r="BT40" s="468">
        <f>$F40*'Study Information &amp; rates'!$F$101*IF('Study Information &amp; rates'!$B$43='Study Information &amp; rates'!$V$12,(SUM($H40:$AP40)*1.287),(SUM($H40:$AP40)))</f>
        <v>0</v>
      </c>
      <c r="BU40" s="469">
        <f>AR40+AS40</f>
        <v>0</v>
      </c>
      <c r="BW40" s="183">
        <f>SUM(H40:AP40)</f>
        <v>0</v>
      </c>
    </row>
    <row r="41" spans="1:75">
      <c r="A41" s="8"/>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8"/>
      <c r="Y41" s="327"/>
      <c r="Z41" s="327"/>
      <c r="AA41" s="327"/>
      <c r="AB41" s="327"/>
      <c r="AC41" s="327"/>
      <c r="AD41" s="327"/>
      <c r="AE41" s="327"/>
      <c r="AF41" s="327"/>
      <c r="AG41" s="327"/>
      <c r="AH41" s="327"/>
      <c r="AI41" s="327"/>
      <c r="AJ41" s="327"/>
      <c r="AK41" s="327"/>
      <c r="AL41" s="327"/>
      <c r="AM41" s="327"/>
      <c r="AN41" s="327"/>
      <c r="AO41" s="327"/>
      <c r="AP41" s="327"/>
      <c r="AQ41" s="435"/>
      <c r="AR41" s="438">
        <f>(SUM(H41:AP41))*G41</f>
        <v>0</v>
      </c>
      <c r="AS41" s="438">
        <f>IF('Study Information &amp; rates'!$B$43="Yes",AR41*0.287,0)</f>
        <v>0</v>
      </c>
      <c r="AT41" s="438">
        <f>IF('Study Information &amp; rates'!$B$43="No",0,AR41*0.05)</f>
        <v>0</v>
      </c>
      <c r="AU41" s="438">
        <f>IF('Study Information &amp; rates'!$B$44="No",AR41+AS41+AT41,'Set-up and other costs'!$B$18*(AR41+AS41+AT41))</f>
        <v>0</v>
      </c>
      <c r="BC41" s="447">
        <f>H41*G41</f>
        <v>0</v>
      </c>
      <c r="BD41" s="447">
        <f>IF('Study Information &amp; rates'!$B$43='Study Information &amp; rates'!$V$12,BC41*0.287,0)</f>
        <v>0</v>
      </c>
      <c r="BE41" s="447">
        <f>IF((Reconciliation!$C$15)&gt;5000,BC41*0.05,0)</f>
        <v>0</v>
      </c>
      <c r="BF41" s="447">
        <f>BC41+BD41+BE41</f>
        <v>0</v>
      </c>
      <c r="BG41" s="183" t="b">
        <f>IF($B41='Look Up'!$A$5,$H41)</f>
        <v>0</v>
      </c>
      <c r="BH41" s="183" t="b">
        <f>IF($B41='Look Up'!$A$6,$H41)</f>
        <v>0</v>
      </c>
      <c r="BI41" s="183" t="b">
        <f>IF($B41='Look Up'!$A$7,$H41)</f>
        <v>0</v>
      </c>
      <c r="BJ41" s="183" t="b">
        <f>IF($B41='Look Up'!$A$7,$H41)</f>
        <v>0</v>
      </c>
      <c r="BL41" s="183">
        <f>IF($B41='[7]Look Up'!$A$6,$C41*$H41,0)+IF($B41='[7]Look Up'!$A$7,$C41*$H41,0)</f>
        <v>0</v>
      </c>
      <c r="BM41" s="183">
        <f>IF($B41='[7]Look Up'!$A$6,$D41*$H41,0)+IF($B41='[7]Look Up'!$A$7,$D41*$H41,0)</f>
        <v>0</v>
      </c>
      <c r="BN41" s="183">
        <f>IF($B41='[7]Look Up'!$A$6,$E41*$H41,0)+IF($B41='[7]Look Up'!$A$7,$E41*$H41,0)</f>
        <v>0</v>
      </c>
      <c r="BO41" s="183">
        <f>IF($B41='[7]Look Up'!$A$6,$F41*$H41,0)+IF($B41='[7]Look Up'!$A$7,$F41*$H41,0)</f>
        <v>0</v>
      </c>
      <c r="BQ41" s="468">
        <f>$C41*'Study Information &amp; rates'!$B$101*IF('Study Information &amp; rates'!$B$43='Study Information &amp; rates'!$V$12,(SUM($H41:$AP41)*1.287),(SUM($H41:$AP41)))</f>
        <v>0</v>
      </c>
      <c r="BR41" s="468">
        <f>$D41*'Study Information &amp; rates'!$C$101*IF('Study Information &amp; rates'!$B$43='Study Information &amp; rates'!$V$12,(SUM($H41:$AP41)*1.287),(SUM($H41:$AP41)))</f>
        <v>0</v>
      </c>
      <c r="BS41" s="468">
        <f>$E41*'Study Information &amp; rates'!$D$101*IF('Study Information &amp; rates'!$B$43='Study Information &amp; rates'!$V$12,(SUM($H41:$AP41)*1.287),(SUM($H41:$AP41)))</f>
        <v>0</v>
      </c>
      <c r="BT41" s="468">
        <f>$F41*'Study Information &amp; rates'!$F$101*IF('Study Information &amp; rates'!$B$43='Study Information &amp; rates'!$V$12,(SUM($H41:$AP41)*1.287),(SUM($H41:$AP41)))</f>
        <v>0</v>
      </c>
      <c r="BU41" s="469">
        <f>AR41+AS41</f>
        <v>0</v>
      </c>
      <c r="BW41" s="183">
        <f>SUM(H41:AP41)</f>
        <v>0</v>
      </c>
    </row>
    <row r="42" spans="1:75">
      <c r="A42" s="8"/>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35"/>
      <c r="AR42" s="438">
        <f>(SUM(H42:AP42))*G42</f>
        <v>0</v>
      </c>
      <c r="AS42" s="438">
        <f>IF('Study Information &amp; rates'!$B$43="Yes",AR42*0.287,0)</f>
        <v>0</v>
      </c>
      <c r="AT42" s="438">
        <f>IF('Study Information &amp; rates'!$B$43="No",0,AR42*0.05)</f>
        <v>0</v>
      </c>
      <c r="AU42" s="438">
        <f>IF('Study Information &amp; rates'!$B$44="No",AR42+AS42+AT42,'Set-up and other costs'!$B$18*(AR42+AS42+AT42))</f>
        <v>0</v>
      </c>
      <c r="BC42" s="447">
        <f>H42*G42</f>
        <v>0</v>
      </c>
      <c r="BD42" s="447">
        <f>IF('Study Information &amp; rates'!$B$43='Study Information &amp; rates'!$V$12,BC42*0.287,0)</f>
        <v>0</v>
      </c>
      <c r="BE42" s="447">
        <f>IF((Reconciliation!$C$15)&gt;5000,BC42*0.05,0)</f>
        <v>0</v>
      </c>
      <c r="BF42" s="447">
        <f>BC42+BD42+BE42</f>
        <v>0</v>
      </c>
      <c r="BG42" s="183" t="b">
        <f>IF($B42='Look Up'!$A$5,$H42)</f>
        <v>0</v>
      </c>
      <c r="BH42" s="183" t="b">
        <f>IF($B42='Look Up'!$A$6,$H42)</f>
        <v>0</v>
      </c>
      <c r="BI42" s="183" t="b">
        <f>IF($B42='Look Up'!$A$7,$H42)</f>
        <v>0</v>
      </c>
      <c r="BJ42" s="183" t="b">
        <f>IF($B42='Look Up'!$A$7,$H42)</f>
        <v>0</v>
      </c>
      <c r="BL42" s="183">
        <f>IF($B42='[7]Look Up'!$A$6,$C42*$H42,0)+IF($B42='[7]Look Up'!$A$7,$C42*$H42,0)</f>
        <v>0</v>
      </c>
      <c r="BM42" s="183">
        <f>IF($B42='[7]Look Up'!$A$6,$D42*$H42,0)+IF($B42='[7]Look Up'!$A$7,$D42*$H42,0)</f>
        <v>0</v>
      </c>
      <c r="BN42" s="183">
        <f>IF($B42='[7]Look Up'!$A$6,$E42*$H42,0)+IF($B42='[7]Look Up'!$A$7,$E42*$H42,0)</f>
        <v>0</v>
      </c>
      <c r="BO42" s="183">
        <f>IF($B42='[7]Look Up'!$A$6,$F42*$H42,0)+IF($B42='[7]Look Up'!$A$7,$F42*$H42,0)</f>
        <v>0</v>
      </c>
      <c r="BQ42" s="468">
        <f>$C42*'Study Information &amp; rates'!$B$101*IF('Study Information &amp; rates'!$B$43='Study Information &amp; rates'!$V$12,(SUM($H42:$AP42)*1.287),(SUM($H42:$AP42)))</f>
        <v>0</v>
      </c>
      <c r="BR42" s="468">
        <f>$D42*'Study Information &amp; rates'!$C$101*IF('Study Information &amp; rates'!$B$43='Study Information &amp; rates'!$V$12,(SUM($H42:$AP42)*1.287),(SUM($H42:$AP42)))</f>
        <v>0</v>
      </c>
      <c r="BS42" s="468">
        <f>$E42*'Study Information &amp; rates'!$D$101*IF('Study Information &amp; rates'!$B$43='Study Information &amp; rates'!$V$12,(SUM($H42:$AP42)*1.287),(SUM($H42:$AP42)))</f>
        <v>0</v>
      </c>
      <c r="BT42" s="468">
        <f>$F42*'Study Information &amp; rates'!$F$101*IF('Study Information &amp; rates'!$B$43='Study Information &amp; rates'!$V$12,(SUM($H42:$AP42)*1.287),(SUM($H42:$AP42)))</f>
        <v>0</v>
      </c>
      <c r="BU42" s="469">
        <f>AR42+AS42</f>
        <v>0</v>
      </c>
      <c r="BW42" s="183">
        <f>SUM(H42:AP42)</f>
        <v>0</v>
      </c>
    </row>
    <row r="43" spans="1:75">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435"/>
      <c r="AR43" s="438">
        <f>(SUM(H43:AP43))*G43</f>
        <v>0</v>
      </c>
      <c r="AS43" s="438">
        <f>IF('Study Information &amp; rates'!$B$43="Yes",AR43*0.287,0)</f>
        <v>0</v>
      </c>
      <c r="AT43" s="438">
        <f>IF('Study Information &amp; rates'!$B$43="No",0,AR43*0.05)</f>
        <v>0</v>
      </c>
      <c r="AU43" s="438">
        <f>IF('Study Information &amp; rates'!$B$44="No",AR43+AS43+AT43,'Set-up and other costs'!$B$18*(AR43+AS43+AT43))</f>
        <v>0</v>
      </c>
      <c r="AW43" s="469"/>
      <c r="BC43" s="447">
        <f>H43*G43</f>
        <v>0</v>
      </c>
      <c r="BD43" s="447">
        <f>IF('Study Information &amp; rates'!$B$43='Study Information &amp; rates'!$V$12,BC43*0.287,0)</f>
        <v>0</v>
      </c>
      <c r="BE43" s="447">
        <f>IF((Reconciliation!$C$15)&gt;5000,BC43*0.05,0)</f>
        <v>0</v>
      </c>
      <c r="BF43" s="447">
        <f>BC43+BD43+BE43</f>
        <v>0</v>
      </c>
      <c r="BG43" s="183" t="b">
        <f>IF($B43='Look Up'!$A$5,$H43)</f>
        <v>0</v>
      </c>
      <c r="BH43" s="183" t="b">
        <f>IF($B43='Look Up'!$A$6,$H43)</f>
        <v>0</v>
      </c>
      <c r="BI43" s="183" t="b">
        <f>IF($B43='Look Up'!$A$7,$H43)</f>
        <v>0</v>
      </c>
      <c r="BJ43" s="183" t="b">
        <f>IF($B43='Look Up'!$A$7,$H43)</f>
        <v>0</v>
      </c>
      <c r="BL43" s="183">
        <f>IF($B43='[7]Look Up'!$A$6,$C43*$H43,0)+IF($B43='[7]Look Up'!$A$7,$C43*$H43,0)</f>
        <v>0</v>
      </c>
      <c r="BM43" s="183">
        <f>IF($B43='[7]Look Up'!$A$6,$D43*$H43,0)+IF($B43='[7]Look Up'!$A$7,$D43*$H43,0)</f>
        <v>0</v>
      </c>
      <c r="BN43" s="183">
        <f>IF($B43='[7]Look Up'!$A$6,$E43*$H43,0)+IF($B43='[7]Look Up'!$A$7,$E43*$H43,0)</f>
        <v>0</v>
      </c>
      <c r="BO43" s="183">
        <f>IF($B43='[7]Look Up'!$A$6,$F43*$H43,0)+IF($B43='[7]Look Up'!$A$7,$F43*$H43,0)</f>
        <v>0</v>
      </c>
      <c r="BQ43" s="468">
        <f>$C43*'Study Information &amp; rates'!$B$101*IF('Study Information &amp; rates'!$B$43='Study Information &amp; rates'!$V$12,(SUM($H43:$AP43)*1.287),(SUM($H43:$AP43)))</f>
        <v>0</v>
      </c>
      <c r="BR43" s="468">
        <f>$D43*'Study Information &amp; rates'!$C$101*IF('Study Information &amp; rates'!$B$43='Study Information &amp; rates'!$V$12,(SUM($H43:$AP43)*1.287),(SUM($H43:$AP43)))</f>
        <v>0</v>
      </c>
      <c r="BS43" s="468">
        <f>$E43*'Study Information &amp; rates'!$D$101*IF('Study Information &amp; rates'!$B$43='Study Information &amp; rates'!$V$12,(SUM($H43:$AP43)*1.287),(SUM($H43:$AP43)))</f>
        <v>0</v>
      </c>
      <c r="BT43" s="468">
        <f>$F43*'Study Information &amp; rates'!$F$101*IF('Study Information &amp; rates'!$B$43='Study Information &amp; rates'!$V$12,(SUM($H43:$AP43)*1.287),(SUM($H43:$AP43)))</f>
        <v>0</v>
      </c>
      <c r="BU43" s="469">
        <f>AR43+AS43</f>
        <v>0</v>
      </c>
      <c r="BW43" s="183">
        <f>SUM(H43:AP43)</f>
        <v>0</v>
      </c>
    </row>
    <row r="44" spans="1:75">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35"/>
      <c r="AR44" s="438">
        <f>(SUM(H44:AP44))*G44</f>
        <v>0</v>
      </c>
      <c r="AS44" s="438">
        <f>IF('Study Information &amp; rates'!$B$43="Yes",AR44*0.287,0)</f>
        <v>0</v>
      </c>
      <c r="AT44" s="438">
        <f>IF('Study Information &amp; rates'!$B$43="No",0,AR44*0.05)</f>
        <v>0</v>
      </c>
      <c r="AU44" s="438">
        <f>IF('Study Information &amp; rates'!$B$44="No",AR44+AS44+AT44,'Set-up and other costs'!$B$18*(AR44+AS44+AT44))</f>
        <v>0</v>
      </c>
      <c r="BC44" s="447">
        <f>H44*G44</f>
        <v>0</v>
      </c>
      <c r="BD44" s="447">
        <f>IF('Study Information &amp; rates'!$B$43='Study Information &amp; rates'!$V$12,BC44*0.287,0)</f>
        <v>0</v>
      </c>
      <c r="BE44" s="447">
        <f>IF((Reconciliation!$C$15)&gt;5000,BC44*0.05,0)</f>
        <v>0</v>
      </c>
      <c r="BF44" s="447">
        <f>BC44+BD44+BE44</f>
        <v>0</v>
      </c>
      <c r="BG44" s="183" t="b">
        <f>IF($B44='Look Up'!$A$5,$H44)</f>
        <v>0</v>
      </c>
      <c r="BH44" s="183" t="b">
        <f>IF($B44='Look Up'!$A$6,$H44)</f>
        <v>0</v>
      </c>
      <c r="BI44" s="183" t="b">
        <f>IF($B44='Look Up'!$A$7,$H44)</f>
        <v>0</v>
      </c>
      <c r="BJ44" s="183" t="b">
        <f>IF($B44='Look Up'!$A$7,$H44)</f>
        <v>0</v>
      </c>
      <c r="BL44" s="183">
        <f>IF($B44='[7]Look Up'!$A$6,$C44*$H44,0)+IF($B44='[7]Look Up'!$A$7,$C44*$H44,0)</f>
        <v>0</v>
      </c>
      <c r="BM44" s="183">
        <f>IF($B44='[7]Look Up'!$A$6,$D44*$H44,0)+IF($B44='[7]Look Up'!$A$7,$D44*$H44,0)</f>
        <v>0</v>
      </c>
      <c r="BN44" s="183">
        <f>IF($B44='[7]Look Up'!$A$6,$E44*$H44,0)+IF($B44='[7]Look Up'!$A$7,$E44*$H44,0)</f>
        <v>0</v>
      </c>
      <c r="BO44" s="183">
        <f>IF($B44='[7]Look Up'!$A$6,$F44*$H44,0)+IF($B44='[7]Look Up'!$A$7,$F44*$H44,0)</f>
        <v>0</v>
      </c>
      <c r="BQ44" s="468">
        <f>$C44*'Study Information &amp; rates'!$B$101*IF('Study Information &amp; rates'!$B$43='Study Information &amp; rates'!$V$12,(SUM($H44:$AP44)*1.287),(SUM($H44:$AP44)))</f>
        <v>0</v>
      </c>
      <c r="BR44" s="468">
        <f>$D44*'Study Information &amp; rates'!$C$101*IF('Study Information &amp; rates'!$B$43='Study Information &amp; rates'!$V$12,(SUM($H44:$AP44)*1.287),(SUM($H44:$AP44)))</f>
        <v>0</v>
      </c>
      <c r="BS44" s="468">
        <f>$E44*'Study Information &amp; rates'!$D$101*IF('Study Information &amp; rates'!$B$43='Study Information &amp; rates'!$V$12,(SUM($H44:$AP44)*1.287),(SUM($H44:$AP44)))</f>
        <v>0</v>
      </c>
      <c r="BT44" s="468">
        <f>$F44*'Study Information &amp; rates'!$F$101*IF('Study Information &amp; rates'!$B$43='Study Information &amp; rates'!$V$12,(SUM($H44:$AP44)*1.287),(SUM($H44:$AP44)))</f>
        <v>0</v>
      </c>
      <c r="BU44" s="469">
        <f>AR44+AS44</f>
        <v>0</v>
      </c>
      <c r="BW44" s="183">
        <f>SUM(H44:AP44)</f>
        <v>0</v>
      </c>
    </row>
    <row r="45" spans="1:75" s="448" customFormat="1">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35"/>
      <c r="AR45" s="438">
        <f>(SUM(H45:AP45))*G45</f>
        <v>0</v>
      </c>
      <c r="AS45" s="438">
        <f>IF('Study Information &amp; rates'!$B$43="Yes",AR45*0.287,0)</f>
        <v>0</v>
      </c>
      <c r="AT45" s="438">
        <f>IF('Study Information &amp; rates'!$B$43="No",0,AR45*0.05)</f>
        <v>0</v>
      </c>
      <c r="AU45" s="438">
        <f>IF('Study Information &amp; rates'!$B$44="No",AR45+AS45+AT45,'Set-up and other costs'!$B$18*(AR45+AS45+AT45))</f>
        <v>0</v>
      </c>
      <c r="AV45" s="183"/>
      <c r="BC45" s="447">
        <f>H45*G45</f>
        <v>0</v>
      </c>
      <c r="BD45" s="447">
        <f>IF('Study Information &amp; rates'!$B$43='Study Information &amp; rates'!$V$12,BC45*0.287,0)</f>
        <v>0</v>
      </c>
      <c r="BE45" s="447">
        <f>IF((Reconciliation!$C$15)&gt;5000,BC45*0.05,0)</f>
        <v>0</v>
      </c>
      <c r="BF45" s="447">
        <f>BC45+BD45+BE45</f>
        <v>0</v>
      </c>
      <c r="BG45" s="183" t="b">
        <f>IF($B45='Look Up'!$A$5,$H45)</f>
        <v>0</v>
      </c>
      <c r="BH45" s="183" t="b">
        <f>IF($B45='Look Up'!$A$6,$H45)</f>
        <v>0</v>
      </c>
      <c r="BI45" s="183" t="b">
        <f>IF($B45='Look Up'!$A$7,$H45)</f>
        <v>0</v>
      </c>
      <c r="BJ45" s="183" t="b">
        <f>IF($B45='Look Up'!$A$7,$H45)</f>
        <v>0</v>
      </c>
      <c r="BL45" s="448">
        <f>IF($B45='[7]Look Up'!$A$6,$C45*$H45,0)+IF($B45='[7]Look Up'!$A$7,$C45*$H45,0)</f>
        <v>0</v>
      </c>
      <c r="BM45" s="448">
        <f>IF($B45='[7]Look Up'!$A$6,$D45*$H45,0)+IF($B45='[7]Look Up'!$A$7,$D45*$H45,0)</f>
        <v>0</v>
      </c>
      <c r="BN45" s="448">
        <f>IF($B45='[7]Look Up'!$A$6,$E45*$H45,0)+IF($B45='[7]Look Up'!$A$7,$E45*$H45,0)</f>
        <v>0</v>
      </c>
      <c r="BO45" s="448">
        <f>IF($B45='[7]Look Up'!$A$6,$F45*$H45,0)+IF($B45='[7]Look Up'!$A$7,$F45*$H45,0)</f>
        <v>0</v>
      </c>
      <c r="BQ45" s="468">
        <f>$C45*'Study Information &amp; rates'!$B$101*IF('Study Information &amp; rates'!$B$43='Study Information &amp; rates'!$V$12,(SUM($H45:$AP45)*1.287),(SUM($H45:$AP45)))</f>
        <v>0</v>
      </c>
      <c r="BR45" s="468">
        <f>$D45*'Study Information &amp; rates'!$C$101*IF('Study Information &amp; rates'!$B$43='Study Information &amp; rates'!$V$12,(SUM($H45:$AP45)*1.287),(SUM($H45:$AP45)))</f>
        <v>0</v>
      </c>
      <c r="BS45" s="468">
        <f>$E45*'Study Information &amp; rates'!$D$101*IF('Study Information &amp; rates'!$B$43='Study Information &amp; rates'!$V$12,(SUM($H45:$AP45)*1.287),(SUM($H45:$AP45)))</f>
        <v>0</v>
      </c>
      <c r="BT45" s="468">
        <f>$F45*'Study Information &amp; rates'!$F$101*IF('Study Information &amp; rates'!$B$43='Study Information &amp; rates'!$V$12,(SUM($H45:$AP45)*1.287),(SUM($H45:$AP45)))</f>
        <v>0</v>
      </c>
      <c r="BU45" s="469">
        <f>AR45+AS45</f>
        <v>0</v>
      </c>
      <c r="BW45" s="183">
        <f>SUM(H45:AP45)</f>
        <v>0</v>
      </c>
    </row>
    <row r="46" spans="1:73">
      <c r="A46" s="188"/>
      <c r="B46" s="188"/>
      <c r="C46" s="445"/>
      <c r="D46" s="445"/>
      <c r="E46" s="445"/>
      <c r="F46" s="445"/>
      <c r="G46" s="505"/>
      <c r="H46" s="506">
        <f>SUM(H7:H45)</f>
        <v>0</v>
      </c>
      <c r="I46" s="506">
        <f>SUM(I7:I45)</f>
        <v>0</v>
      </c>
      <c r="J46" s="506">
        <f>SUM(J7:J45)</f>
        <v>0</v>
      </c>
      <c r="K46" s="506">
        <f>SUM(K7:K45)</f>
        <v>0</v>
      </c>
      <c r="L46" s="506">
        <f>SUM(L7:L45)</f>
        <v>0</v>
      </c>
      <c r="M46" s="506">
        <f>SUM(M7:M45)</f>
        <v>0</v>
      </c>
      <c r="N46" s="506">
        <f>SUM(N7:N45)</f>
        <v>0</v>
      </c>
      <c r="O46" s="506">
        <f>SUM(O7:O45)</f>
        <v>0</v>
      </c>
      <c r="P46" s="506">
        <f>SUM(P7:P45)</f>
        <v>0</v>
      </c>
      <c r="Q46" s="506">
        <f>SUM(Q7:Q45)</f>
        <v>0</v>
      </c>
      <c r="R46" s="506">
        <f>SUM(R7:R45)</f>
        <v>0</v>
      </c>
      <c r="S46" s="506">
        <f>SUM(S7:S45)</f>
        <v>0</v>
      </c>
      <c r="T46" s="506">
        <f>SUM(T7:T45)</f>
        <v>0</v>
      </c>
      <c r="U46" s="506">
        <f>SUM(U7:U45)</f>
        <v>0</v>
      </c>
      <c r="V46" s="506">
        <f>SUM(V7:V45)</f>
        <v>0</v>
      </c>
      <c r="W46" s="506">
        <f>SUM(W7:W45)</f>
        <v>0</v>
      </c>
      <c r="X46" s="506">
        <f>SUM(X7:X45)</f>
        <v>0</v>
      </c>
      <c r="Y46" s="506">
        <f>SUM(Y7:Y45)</f>
        <v>0</v>
      </c>
      <c r="Z46" s="506">
        <f>SUM(Z7:Z45)</f>
        <v>0</v>
      </c>
      <c r="AA46" s="506">
        <f>SUM(AA7:AA45)</f>
        <v>0</v>
      </c>
      <c r="AB46" s="506">
        <f>SUM(AB7:AB45)</f>
        <v>0</v>
      </c>
      <c r="AC46" s="506">
        <f>SUM(AC7:AC45)</f>
        <v>0</v>
      </c>
      <c r="AD46" s="506">
        <f>SUM(AD7:AD45)</f>
        <v>0</v>
      </c>
      <c r="AE46" s="506">
        <f>SUM(AE7:AE45)</f>
        <v>0</v>
      </c>
      <c r="AF46" s="506">
        <f>SUM(AF7:AF45)</f>
        <v>0</v>
      </c>
      <c r="AG46" s="506">
        <f>SUM(AG7:AG45)</f>
        <v>0</v>
      </c>
      <c r="AH46" s="506">
        <f>SUM(AH7:AH45)</f>
        <v>0</v>
      </c>
      <c r="AI46" s="506">
        <f>SUM(AI7:AI45)</f>
        <v>0</v>
      </c>
      <c r="AJ46" s="506">
        <f>SUM(AJ7:AJ45)</f>
        <v>0</v>
      </c>
      <c r="AK46" s="506">
        <f>SUM(AK7:AK45)</f>
        <v>0</v>
      </c>
      <c r="AL46" s="506">
        <f>SUM(AL7:AL45)</f>
        <v>0</v>
      </c>
      <c r="AM46" s="506">
        <f>SUM(AM7:AM45)</f>
        <v>0</v>
      </c>
      <c r="AN46" s="506">
        <f>SUM(AN7:AN45)</f>
        <v>0</v>
      </c>
      <c r="AO46" s="506">
        <f>SUM(AO7:AO45)</f>
        <v>0</v>
      </c>
      <c r="AP46" s="506">
        <f>SUM(AP7:AP45)</f>
        <v>0</v>
      </c>
      <c r="AQ46" s="421"/>
      <c r="AR46" s="507">
        <f>SUM(AR7:AR45)</f>
        <v>0</v>
      </c>
      <c r="AS46" s="438">
        <f>IF('Study Information &amp; rates'!$B$43="Yes",AR46*0.287,0)</f>
        <v>0</v>
      </c>
      <c r="AT46" s="438">
        <f>IF('Study Information &amp; rates'!$B$43="No",0,AR46*0.05)</f>
        <v>0</v>
      </c>
      <c r="AU46" s="438">
        <f>IF('Study Information &amp; rates'!$B$44="No",AR46+AS46+AT46,'Set-up and other costs'!$B$18*(AR46+AS46+AT46))</f>
        <v>0</v>
      </c>
      <c r="AW46" s="469"/>
      <c r="BQ46" s="468">
        <f>$C46*'Study Information &amp; rates'!$B$101*IF('Study Information &amp; rates'!$B$43='Study Information &amp; rates'!$V$12,(SUM($H46:$AP46)*1.287),(SUM($H46:$AP46)))</f>
        <v>0</v>
      </c>
      <c r="BR46" s="468">
        <f>$D46*'Study Information &amp; rates'!$C$101*IF('Study Information &amp; rates'!$B$43='Study Information &amp; rates'!$V$12,(SUM($H46:$AP46)*1.287),(SUM($H46:$AP46)))</f>
        <v>0</v>
      </c>
      <c r="BS46" s="468">
        <f>$E46*'Study Information &amp; rates'!$D$101*IF('Study Information &amp; rates'!$B$43='Study Information &amp; rates'!$V$12,(SUM($H46:$AP46)*1.287),(SUM($H46:$AP46)))</f>
        <v>0</v>
      </c>
      <c r="BT46" s="468">
        <f>$F46*'Study Information &amp; rates'!$F$101*IF('Study Information &amp; rates'!$B$43='Study Information &amp; rates'!$V$12,(SUM($H46:$AP46)*1.287),(SUM($H46:$AP46)))</f>
        <v>0</v>
      </c>
      <c r="BU46" s="469">
        <f>AR46+AS46</f>
        <v>0</v>
      </c>
    </row>
    <row r="47" spans="1:58" ht="26">
      <c r="A47" s="188"/>
      <c r="B47" s="188"/>
      <c r="C47" s="445"/>
      <c r="D47" s="445"/>
      <c r="E47" s="445"/>
      <c r="F47" s="445"/>
      <c r="G47" s="437" t="s">
        <v>1970</v>
      </c>
      <c r="H47" s="506">
        <f>SUMPRODUCT($C7:$C45,H7:H45)</f>
        <v>0</v>
      </c>
      <c r="I47" s="506">
        <f>SUMPRODUCT($C7:$C45,I7:I45)</f>
        <v>0</v>
      </c>
      <c r="J47" s="506">
        <f>SUMPRODUCT($C7:$C45,J7:J45)</f>
        <v>0</v>
      </c>
      <c r="K47" s="506">
        <f>SUMPRODUCT($C7:$C45,K7:K45)</f>
        <v>0</v>
      </c>
      <c r="L47" s="506">
        <f>SUMPRODUCT($C7:$C45,L7:L45)</f>
        <v>0</v>
      </c>
      <c r="M47" s="506">
        <f>SUMPRODUCT($C7:$C45,M7:M45)</f>
        <v>0</v>
      </c>
      <c r="N47" s="506">
        <f>SUMPRODUCT($C7:$C45,N7:N45)</f>
        <v>0</v>
      </c>
      <c r="O47" s="506">
        <f>SUMPRODUCT($C7:$C45,O7:O45)</f>
        <v>0</v>
      </c>
      <c r="P47" s="506">
        <f>SUMPRODUCT($C7:$C45,P7:P45)</f>
        <v>0</v>
      </c>
      <c r="Q47" s="506">
        <f>SUMPRODUCT($C7:$C45,Q7:Q45)</f>
        <v>0</v>
      </c>
      <c r="R47" s="506">
        <f>SUMPRODUCT($C7:$C45,R7:R45)</f>
        <v>0</v>
      </c>
      <c r="S47" s="506">
        <f>SUMPRODUCT($C7:$C45,S7:S45)</f>
        <v>0</v>
      </c>
      <c r="T47" s="506">
        <f>SUMPRODUCT($C7:$C45,T7:T45)</f>
        <v>0</v>
      </c>
      <c r="U47" s="506">
        <f>SUMPRODUCT($C7:$C45,U7:U45)</f>
        <v>0</v>
      </c>
      <c r="V47" s="506">
        <f>SUMPRODUCT($C7:$C45,V7:V45)</f>
        <v>0</v>
      </c>
      <c r="W47" s="506">
        <f>SUMPRODUCT($C7:$C45,W7:W45)</f>
        <v>0</v>
      </c>
      <c r="X47" s="506">
        <f>SUMPRODUCT($C7:$C45,X7:X45)</f>
        <v>0</v>
      </c>
      <c r="Y47" s="506">
        <f>SUMPRODUCT($C7:$C45,Y7:Y45)</f>
        <v>0</v>
      </c>
      <c r="Z47" s="506">
        <f>SUMPRODUCT($C7:$C45,Z7:Z45)</f>
        <v>0</v>
      </c>
      <c r="AA47" s="506">
        <f>SUMPRODUCT($C7:$C45,AA7:AA45)</f>
        <v>0</v>
      </c>
      <c r="AB47" s="506">
        <f>SUMPRODUCT($C7:$C45,AB7:AB45)</f>
        <v>0</v>
      </c>
      <c r="AC47" s="506">
        <f>SUMPRODUCT($C7:$C45,AC7:AC45)</f>
        <v>0</v>
      </c>
      <c r="AD47" s="506">
        <f>SUMPRODUCT($C7:$C45,AD7:AD45)</f>
        <v>0</v>
      </c>
      <c r="AE47" s="506">
        <f>SUMPRODUCT($C7:$C45,AE7:AE45)</f>
        <v>0</v>
      </c>
      <c r="AF47" s="506">
        <f>SUMPRODUCT($C7:$C45,AF7:AF45)</f>
        <v>0</v>
      </c>
      <c r="AG47" s="506">
        <f>SUMPRODUCT($C7:$C45,AG7:AG45)</f>
        <v>0</v>
      </c>
      <c r="AH47" s="506">
        <f>SUMPRODUCT($C7:$C45,AH7:AH45)</f>
        <v>0</v>
      </c>
      <c r="AI47" s="506">
        <f>SUMPRODUCT($C7:$C45,AI7:AI45)</f>
        <v>0</v>
      </c>
      <c r="AJ47" s="506">
        <f>SUMPRODUCT($C7:$C45,AJ7:AJ45)</f>
        <v>0</v>
      </c>
      <c r="AK47" s="506">
        <f>SUMPRODUCT($C7:$C45,AK7:AK45)</f>
        <v>0</v>
      </c>
      <c r="AL47" s="506">
        <f>SUMPRODUCT($C7:$C45,AL7:AL45)</f>
        <v>0</v>
      </c>
      <c r="AM47" s="506">
        <f>SUMPRODUCT($C7:$C45,AM7:AM45)</f>
        <v>0</v>
      </c>
      <c r="AN47" s="506">
        <f>SUMPRODUCT($C7:$C45,AN7:AN45)</f>
        <v>0</v>
      </c>
      <c r="AO47" s="506">
        <f>SUMPRODUCT($C7:$C45,AO7:AO45)</f>
        <v>0</v>
      </c>
      <c r="AP47" s="506">
        <f>SUMPRODUCT($C7:$C45,AP7:AP45)</f>
        <v>0</v>
      </c>
      <c r="AQ47" s="427"/>
      <c r="AR47" s="438">
        <f>SUM(H47:AP47)*'Study Information &amp; rates'!B101</f>
        <v>0</v>
      </c>
      <c r="AS47" s="438">
        <f>IF('Study Information &amp; rates'!$B$43="Yes",AR47*0.287,0)</f>
        <v>0</v>
      </c>
      <c r="AT47" s="438">
        <f>IF('Study Information &amp; rates'!$B$43="No",0,AR47*0.05)</f>
        <v>0</v>
      </c>
      <c r="AU47" s="438">
        <f>IF('Study Information &amp; rates'!$B$44="No",AR47+AS47+AT47,'Set-up and other costs'!$B$18*(AR47+AS47+AT47))</f>
        <v>0</v>
      </c>
      <c r="BB47" s="467">
        <f>SUMIF($BH:$BH,1,$C:$C)+SUMIF($BJ:$BJ,1,$C:$C)</f>
        <v>0</v>
      </c>
      <c r="BC47" s="466">
        <f>BB47*'Study Information &amp; rates'!$B$101</f>
        <v>0</v>
      </c>
      <c r="BD47" s="447">
        <f>IF('Study Information &amp; rates'!$B$43='Study Information &amp; rates'!$V$12,BC47*0.287,0)</f>
        <v>0</v>
      </c>
      <c r="BE47" s="447">
        <f>IF(($AR$51*'Study Information &amp; rates'!$B$27)&gt;5000,BC47*0.05,0)</f>
        <v>0</v>
      </c>
      <c r="BF47" s="447">
        <f>BC47+BD47+BE47</f>
        <v>0</v>
      </c>
    </row>
    <row r="48" spans="1:72" ht="26">
      <c r="A48" s="188"/>
      <c r="B48" s="188"/>
      <c r="C48" s="445"/>
      <c r="D48" s="445"/>
      <c r="E48" s="445"/>
      <c r="F48" s="445"/>
      <c r="G48" s="437" t="s">
        <v>1971</v>
      </c>
      <c r="H48" s="506">
        <f>SUMPRODUCT($D7:$D45,H7:H45)</f>
        <v>0</v>
      </c>
      <c r="I48" s="506">
        <f>SUMPRODUCT($D7:$D45,I7:I45)</f>
        <v>0</v>
      </c>
      <c r="J48" s="506">
        <f>SUMPRODUCT($D7:$D45,J7:J45)</f>
        <v>0</v>
      </c>
      <c r="K48" s="506">
        <f>SUMPRODUCT($D7:$D45,K7:K45)</f>
        <v>0</v>
      </c>
      <c r="L48" s="506">
        <f>SUMPRODUCT($D7:$D45,L7:L45)</f>
        <v>0</v>
      </c>
      <c r="M48" s="506">
        <f>SUMPRODUCT($D7:$D45,M7:M45)</f>
        <v>0</v>
      </c>
      <c r="N48" s="506">
        <f>SUMPRODUCT($D7:$D45,N7:N45)</f>
        <v>0</v>
      </c>
      <c r="O48" s="506">
        <f>SUMPRODUCT($D7:$D45,O7:O45)</f>
        <v>0</v>
      </c>
      <c r="P48" s="506">
        <f>SUMPRODUCT($D7:$D45,P7:P45)</f>
        <v>0</v>
      </c>
      <c r="Q48" s="506">
        <f>SUMPRODUCT($D7:$D45,Q7:Q45)</f>
        <v>0</v>
      </c>
      <c r="R48" s="506">
        <f>SUMPRODUCT($D7:$D45,R7:R45)</f>
        <v>0</v>
      </c>
      <c r="S48" s="506">
        <f>SUMPRODUCT($D7:$D45,S7:S45)</f>
        <v>0</v>
      </c>
      <c r="T48" s="506">
        <f>SUMPRODUCT($D7:$D45,T7:T45)</f>
        <v>0</v>
      </c>
      <c r="U48" s="506">
        <f>SUMPRODUCT($D7:$D45,U7:U45)</f>
        <v>0</v>
      </c>
      <c r="V48" s="506">
        <f>SUMPRODUCT($D7:$D45,V7:V45)</f>
        <v>0</v>
      </c>
      <c r="W48" s="506">
        <f>SUMPRODUCT($D7:$D45,W7:W45)</f>
        <v>0</v>
      </c>
      <c r="X48" s="506">
        <f>SUMPRODUCT($D7:$D45,X7:X45)</f>
        <v>0</v>
      </c>
      <c r="Y48" s="506">
        <f>SUMPRODUCT($D7:$D45,Y7:Y45)</f>
        <v>0</v>
      </c>
      <c r="Z48" s="506">
        <f>SUMPRODUCT($D7:$D45,Z7:Z45)</f>
        <v>0</v>
      </c>
      <c r="AA48" s="506">
        <f>SUMPRODUCT($D7:$D45,AA7:AA45)</f>
        <v>0</v>
      </c>
      <c r="AB48" s="506">
        <f>SUMPRODUCT($D7:$D45,AB7:AB45)</f>
        <v>0</v>
      </c>
      <c r="AC48" s="506">
        <f>SUMPRODUCT($D7:$D45,AC7:AC45)</f>
        <v>0</v>
      </c>
      <c r="AD48" s="506">
        <f>SUMPRODUCT($D7:$D45,AD7:AD45)</f>
        <v>0</v>
      </c>
      <c r="AE48" s="506">
        <f>SUMPRODUCT($D7:$D45,AE7:AE45)</f>
        <v>0</v>
      </c>
      <c r="AF48" s="506">
        <f>SUMPRODUCT($D7:$D45,AF7:AF45)</f>
        <v>0</v>
      </c>
      <c r="AG48" s="506">
        <f>SUMPRODUCT($D7:$D45,AG7:AG45)</f>
        <v>0</v>
      </c>
      <c r="AH48" s="506">
        <f>SUMPRODUCT($D7:$D45,AH7:AH45)</f>
        <v>0</v>
      </c>
      <c r="AI48" s="506">
        <f>SUMPRODUCT($D7:$D45,AI7:AI45)</f>
        <v>0</v>
      </c>
      <c r="AJ48" s="506">
        <f>SUMPRODUCT($D7:$D45,AJ7:AJ45)</f>
        <v>0</v>
      </c>
      <c r="AK48" s="506">
        <f>SUMPRODUCT($D7:$D45,AK7:AK45)</f>
        <v>0</v>
      </c>
      <c r="AL48" s="506">
        <f>SUMPRODUCT($D7:$D45,AL7:AL45)</f>
        <v>0</v>
      </c>
      <c r="AM48" s="506">
        <f>SUMPRODUCT($D7:$D45,AM7:AM45)</f>
        <v>0</v>
      </c>
      <c r="AN48" s="506">
        <f>SUMPRODUCT($D7:$D45,AN7:AN45)</f>
        <v>0</v>
      </c>
      <c r="AO48" s="506">
        <f>SUMPRODUCT($D7:$D45,AO7:AO45)</f>
        <v>0</v>
      </c>
      <c r="AP48" s="506">
        <f>SUMPRODUCT($D7:$D45,AP7:AP45)</f>
        <v>0</v>
      </c>
      <c r="AQ48" s="427"/>
      <c r="AR48" s="438">
        <f>SUM(H48:AP48)*'Study Information &amp; rates'!C101</f>
        <v>0</v>
      </c>
      <c r="AS48" s="438">
        <f>IF('Study Information &amp; rates'!$B$43="Yes",AR48*0.287,0)</f>
        <v>0</v>
      </c>
      <c r="AT48" s="438">
        <f>IF('Study Information &amp; rates'!$B$43="No",0,AR48*0.05)</f>
        <v>0</v>
      </c>
      <c r="AU48" s="438">
        <f>IF('Study Information &amp; rates'!$B$44="No",AR48+AS48+AT48,'Set-up and other costs'!$B$18*(AR48+AS48+AT48))</f>
        <v>0</v>
      </c>
      <c r="BB48" s="467">
        <f>SUMIF($BH:$BH,1,$D:$D)+SUMIF($BJ:$BJ,1,$D:$D)</f>
        <v>0</v>
      </c>
      <c r="BC48" s="466">
        <f>BB48*'Study Information &amp; rates'!$C$101</f>
        <v>0</v>
      </c>
      <c r="BD48" s="447">
        <f>IF('Study Information &amp; rates'!$B$43='Study Information &amp; rates'!$V$12,BC48*0.287,0)</f>
        <v>0</v>
      </c>
      <c r="BE48" s="447">
        <f>IF(($AR$51*'Study Information &amp; rates'!$B$27)&gt;5000,BC48*0.05,0)</f>
        <v>0</v>
      </c>
      <c r="BF48" s="447">
        <f>BC48+BD48+BE48</f>
        <v>0</v>
      </c>
      <c r="BQ48" s="183">
        <f>SUM(BQ7:BQ47)</f>
        <v>0</v>
      </c>
      <c r="BR48" s="183">
        <f>SUM(BR7:BR47)</f>
        <v>0</v>
      </c>
      <c r="BS48" s="183">
        <f>SUM(BS7:BS47)</f>
        <v>0</v>
      </c>
      <c r="BT48" s="183">
        <f>SUM(BT7:BT47)</f>
        <v>0</v>
      </c>
    </row>
    <row r="49" spans="1:69" ht="26">
      <c r="A49" s="188"/>
      <c r="B49" s="188"/>
      <c r="C49" s="445"/>
      <c r="D49" s="445"/>
      <c r="E49" s="445"/>
      <c r="F49" s="445"/>
      <c r="G49" s="437" t="s">
        <v>32</v>
      </c>
      <c r="H49" s="506">
        <f>SUMPRODUCT($E$7:$E45,H7:H45)</f>
        <v>0</v>
      </c>
      <c r="I49" s="506">
        <f>SUMPRODUCT($E$7:$E45,I7:I45)</f>
        <v>0</v>
      </c>
      <c r="J49" s="506">
        <f>SUMPRODUCT($E$7:$E45,J7:J45)</f>
        <v>0</v>
      </c>
      <c r="K49" s="506">
        <f>SUMPRODUCT($E$7:$E45,K7:K45)</f>
        <v>0</v>
      </c>
      <c r="L49" s="506">
        <f>SUMPRODUCT($E$7:$E45,L7:L45)</f>
        <v>0</v>
      </c>
      <c r="M49" s="506">
        <f>SUMPRODUCT($E$7:$E45,M7:M45)</f>
        <v>0</v>
      </c>
      <c r="N49" s="506">
        <f>SUMPRODUCT($E$7:$E45,N7:N45)</f>
        <v>0</v>
      </c>
      <c r="O49" s="506">
        <f>SUMPRODUCT($E$7:$E45,O7:O45)</f>
        <v>0</v>
      </c>
      <c r="P49" s="506">
        <f>SUMPRODUCT($E$7:$E45,P7:P45)</f>
        <v>0</v>
      </c>
      <c r="Q49" s="506">
        <f>SUMPRODUCT($E$7:$E45,Q7:Q45)</f>
        <v>0</v>
      </c>
      <c r="R49" s="506">
        <f>SUMPRODUCT($E$7:$E45,R7:R45)</f>
        <v>0</v>
      </c>
      <c r="S49" s="506">
        <f>SUMPRODUCT($E$7:$E45,S7:S45)</f>
        <v>0</v>
      </c>
      <c r="T49" s="506">
        <f>SUMPRODUCT($E$7:$E45,T7:T45)</f>
        <v>0</v>
      </c>
      <c r="U49" s="506">
        <f>SUMPRODUCT($E$7:$E45,U7:U45)</f>
        <v>0</v>
      </c>
      <c r="V49" s="506">
        <f>SUMPRODUCT($E$7:$E45,V7:V45)</f>
        <v>0</v>
      </c>
      <c r="W49" s="506">
        <f>SUMPRODUCT($E$7:$E45,W7:W45)</f>
        <v>0</v>
      </c>
      <c r="X49" s="506">
        <f>SUMPRODUCT($E$7:$E45,X7:X45)</f>
        <v>0</v>
      </c>
      <c r="Y49" s="506">
        <f>SUMPRODUCT($E$7:$E45,Y7:Y45)</f>
        <v>0</v>
      </c>
      <c r="Z49" s="506">
        <f>SUMPRODUCT($E$7:$E45,Z7:Z45)</f>
        <v>0</v>
      </c>
      <c r="AA49" s="506">
        <f>SUMPRODUCT($E$7:$E45,AA7:AA45)</f>
        <v>0</v>
      </c>
      <c r="AB49" s="506">
        <f>SUMPRODUCT($E$7:$E45,AB7:AB45)</f>
        <v>0</v>
      </c>
      <c r="AC49" s="506">
        <f>SUMPRODUCT($E$7:$E45,AC7:AC45)</f>
        <v>0</v>
      </c>
      <c r="AD49" s="506">
        <f>SUMPRODUCT($E$7:$E45,AD7:AD45)</f>
        <v>0</v>
      </c>
      <c r="AE49" s="506">
        <f>SUMPRODUCT($E$7:$E45,AE7:AE45)</f>
        <v>0</v>
      </c>
      <c r="AF49" s="506">
        <f>SUMPRODUCT($E$7:$E45,AF7:AF45)</f>
        <v>0</v>
      </c>
      <c r="AG49" s="506">
        <f>SUMPRODUCT($E$7:$E45,AG7:AG45)</f>
        <v>0</v>
      </c>
      <c r="AH49" s="506">
        <f>SUMPRODUCT($E$7:$E45,AH7:AH45)</f>
        <v>0</v>
      </c>
      <c r="AI49" s="506">
        <f>SUMPRODUCT($E$7:$E45,AI7:AI45)</f>
        <v>0</v>
      </c>
      <c r="AJ49" s="506">
        <f>SUMPRODUCT($E$7:$E45,AJ7:AJ45)</f>
        <v>0</v>
      </c>
      <c r="AK49" s="506">
        <f>SUMPRODUCT($E$7:$E45,AK7:AK45)</f>
        <v>0</v>
      </c>
      <c r="AL49" s="506">
        <f>SUMPRODUCT($E$7:$E45,AL7:AL45)</f>
        <v>0</v>
      </c>
      <c r="AM49" s="506">
        <f>SUMPRODUCT($E$7:$E45,AM7:AM45)</f>
        <v>0</v>
      </c>
      <c r="AN49" s="506">
        <f>SUMPRODUCT($E$7:$E45,AN7:AN45)</f>
        <v>0</v>
      </c>
      <c r="AO49" s="506">
        <f>SUMPRODUCT($E$7:$E45,AO7:AO45)</f>
        <v>0</v>
      </c>
      <c r="AP49" s="506">
        <f>SUMPRODUCT($E$7:$E45,AP7:AP45)</f>
        <v>0</v>
      </c>
      <c r="AQ49" s="427"/>
      <c r="AR49" s="438">
        <f>SUM(H49:AP49)*'Study Information &amp; rates'!D101</f>
        <v>0</v>
      </c>
      <c r="AS49" s="438">
        <f>IF('Study Information &amp; rates'!$B$43="Yes",AR49*0.287,0)</f>
        <v>0</v>
      </c>
      <c r="AT49" s="438">
        <f>IF('Study Information &amp; rates'!$B$43="No",0,AR49*0.05)</f>
        <v>0</v>
      </c>
      <c r="AU49" s="438">
        <f>IF('Study Information &amp; rates'!$B$44="No",AR49+AS49+AT49,'Set-up and other costs'!$B$18*(AR49+AS49+AT49))</f>
        <v>0</v>
      </c>
      <c r="BB49" s="467">
        <f>SUMIF($BH:$BH,1,$E:$E)+SUMIF($BJ:$BJ,1,$E:$E)</f>
        <v>0</v>
      </c>
      <c r="BC49" s="466">
        <f>BB49*'Study Information &amp; rates'!$D$101</f>
        <v>0</v>
      </c>
      <c r="BD49" s="447">
        <f>IF('Study Information &amp; rates'!$B$43='Study Information &amp; rates'!$V$12,BC49*0.287,0)</f>
        <v>0</v>
      </c>
      <c r="BE49" s="447">
        <f>IF(($AR$51*'Study Information &amp; rates'!$B$27)&gt;5000,BC49*0.05,0)</f>
        <v>0</v>
      </c>
      <c r="BF49" s="447">
        <f>BC49+BD49+BE49</f>
        <v>0</v>
      </c>
      <c r="BQ49" s="183">
        <f>SUM(BQ48:BT48)</f>
        <v>0</v>
      </c>
    </row>
    <row r="50" spans="1:69" ht="26">
      <c r="A50" s="188"/>
      <c r="B50" s="188"/>
      <c r="C50" s="445"/>
      <c r="D50" s="445"/>
      <c r="E50" s="445"/>
      <c r="F50" s="445"/>
      <c r="G50" s="437" t="s">
        <v>46</v>
      </c>
      <c r="H50" s="506">
        <f>SUMPRODUCT($F$7:$F45,H7:H45)</f>
        <v>0</v>
      </c>
      <c r="I50" s="506">
        <f>SUMPRODUCT($F$7:$F45,I7:I45)</f>
        <v>0</v>
      </c>
      <c r="J50" s="506">
        <f>SUMPRODUCT($F$7:$F45,J7:J45)</f>
        <v>0</v>
      </c>
      <c r="K50" s="506">
        <f>SUMPRODUCT($F$7:$F45,K7:K45)</f>
        <v>0</v>
      </c>
      <c r="L50" s="506">
        <f>SUMPRODUCT($F$7:$F45,L7:L45)</f>
        <v>0</v>
      </c>
      <c r="M50" s="506">
        <f>SUMPRODUCT($F$7:$F45,M7:M45)</f>
        <v>0</v>
      </c>
      <c r="N50" s="506">
        <f>SUMPRODUCT($F$7:$F45,N7:N45)</f>
        <v>0</v>
      </c>
      <c r="O50" s="506">
        <f>SUMPRODUCT($F$7:$F45,O7:O45)</f>
        <v>0</v>
      </c>
      <c r="P50" s="506">
        <f>SUMPRODUCT($F$7:$F45,P7:P45)</f>
        <v>0</v>
      </c>
      <c r="Q50" s="506">
        <f>SUMPRODUCT($F$7:$F45,Q7:Q45)</f>
        <v>0</v>
      </c>
      <c r="R50" s="506">
        <f>SUMPRODUCT($F$7:$F45,R7:R45)</f>
        <v>0</v>
      </c>
      <c r="S50" s="506">
        <f>SUMPRODUCT($F$7:$F45,S7:S45)</f>
        <v>0</v>
      </c>
      <c r="T50" s="506">
        <f>SUMPRODUCT($F$7:$F45,T7:T45)</f>
        <v>0</v>
      </c>
      <c r="U50" s="506">
        <f>SUMPRODUCT($F$7:$F45,U7:U45)</f>
        <v>0</v>
      </c>
      <c r="V50" s="506">
        <f>SUMPRODUCT($F$7:$F45,V7:V45)</f>
        <v>0</v>
      </c>
      <c r="W50" s="506">
        <f>SUMPRODUCT($F$7:$F45,W7:W45)</f>
        <v>0</v>
      </c>
      <c r="X50" s="506">
        <f>SUMPRODUCT($F$7:$F45,X7:X45)</f>
        <v>0</v>
      </c>
      <c r="Y50" s="506">
        <f>SUMPRODUCT($F$7:$F45,Y7:Y45)</f>
        <v>0</v>
      </c>
      <c r="Z50" s="506">
        <f>SUMPRODUCT($F$7:$F45,Z7:Z45)</f>
        <v>0</v>
      </c>
      <c r="AA50" s="506">
        <f>SUMPRODUCT($F$7:$F45,AA7:AA45)</f>
        <v>0</v>
      </c>
      <c r="AB50" s="506">
        <f>SUMPRODUCT($F$7:$F45,AB7:AB45)</f>
        <v>0</v>
      </c>
      <c r="AC50" s="506">
        <f>SUMPRODUCT($F$7:$F45,AC7:AC45)</f>
        <v>0</v>
      </c>
      <c r="AD50" s="506">
        <f>SUMPRODUCT($F$7:$F45,AD7:AD45)</f>
        <v>0</v>
      </c>
      <c r="AE50" s="506">
        <f>SUMPRODUCT($F$7:$F45,AE7:AE45)</f>
        <v>0</v>
      </c>
      <c r="AF50" s="506">
        <f>SUMPRODUCT($F$7:$F45,AF7:AF45)</f>
        <v>0</v>
      </c>
      <c r="AG50" s="506">
        <f>SUMPRODUCT($F$7:$F45,AG7:AG45)</f>
        <v>0</v>
      </c>
      <c r="AH50" s="506">
        <f>SUMPRODUCT($F$7:$F45,AH7:AH45)</f>
        <v>0</v>
      </c>
      <c r="AI50" s="506">
        <f>SUMPRODUCT($F$7:$F45,AI7:AI45)</f>
        <v>0</v>
      </c>
      <c r="AJ50" s="506">
        <f>SUMPRODUCT($F$7:$F45,AJ7:AJ45)</f>
        <v>0</v>
      </c>
      <c r="AK50" s="506">
        <f>SUMPRODUCT($F$7:$F45,AK7:AK45)</f>
        <v>0</v>
      </c>
      <c r="AL50" s="506">
        <f>SUMPRODUCT($F$7:$F45,AL7:AL45)</f>
        <v>0</v>
      </c>
      <c r="AM50" s="506">
        <f>SUMPRODUCT($F$7:$F45,AM7:AM45)</f>
        <v>0</v>
      </c>
      <c r="AN50" s="506">
        <f>SUMPRODUCT($F$7:$F45,AN7:AN45)</f>
        <v>0</v>
      </c>
      <c r="AO50" s="506">
        <f>SUMPRODUCT($F$7:$F45,AO7:AO45)</f>
        <v>0</v>
      </c>
      <c r="AP50" s="506">
        <f>SUMPRODUCT($F$7:$F45,AP7:AP45)</f>
        <v>0</v>
      </c>
      <c r="AQ50" s="427"/>
      <c r="AR50" s="438">
        <f>SUM(H50:AP50)*'Study Information &amp; rates'!F101</f>
        <v>0</v>
      </c>
      <c r="AS50" s="438">
        <f>IF('Study Information &amp; rates'!$B$43="Yes",AR50*0.287,0)</f>
        <v>0</v>
      </c>
      <c r="AT50" s="438">
        <f>IF('Study Information &amp; rates'!$B$43="No",0,AR50*0.05)</f>
        <v>0</v>
      </c>
      <c r="AU50" s="438">
        <f>IF('Study Information &amp; rates'!$B$44="No",AR50+AS50+AT50,'Set-up and other costs'!$B$18*(AR50+AS50+AT50))</f>
        <v>0</v>
      </c>
      <c r="AW50" s="448" t="b">
        <f>AR51=AR46</f>
        <v>1</v>
      </c>
      <c r="AX50" s="448" t="b">
        <f>AS51=AS46</f>
        <v>1</v>
      </c>
      <c r="AY50" s="448" t="b">
        <f>AT51=AT46</f>
        <v>1</v>
      </c>
      <c r="AZ50" s="448" t="b">
        <f>AV51=AV46</f>
        <v>1</v>
      </c>
      <c r="BB50" s="467">
        <f>SUMIF($BH:$BH,1,$F:$F)+SUMIF($BJ:$BJ,1,$F:$F)</f>
        <v>0</v>
      </c>
      <c r="BC50" s="466">
        <f>BB50*'Study Information &amp; rates'!$F$101</f>
        <v>0</v>
      </c>
      <c r="BD50" s="447">
        <f>IF('Study Information &amp; rates'!$B$43='Study Information &amp; rates'!$V$12,BC50*0.287,0)</f>
        <v>0</v>
      </c>
      <c r="BE50" s="447">
        <f>IF(($AR$51*'Study Information &amp; rates'!$B$27)&gt;5000,BC50*0.05,0)</f>
        <v>0</v>
      </c>
      <c r="BF50" s="447">
        <f>BC50+BD50+BE50</f>
        <v>0</v>
      </c>
      <c r="BQ50" s="469">
        <f>BQ49+AT46</f>
        <v>0</v>
      </c>
    </row>
    <row r="51" spans="1:69">
      <c r="A51" s="448"/>
      <c r="B51" s="448"/>
      <c r="C51" s="448"/>
      <c r="D51" s="448"/>
      <c r="E51" s="448"/>
      <c r="F51" s="448"/>
      <c r="G51" s="503"/>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8"/>
      <c r="AM51" s="508"/>
      <c r="AN51" s="508"/>
      <c r="AO51" s="508"/>
      <c r="AP51" s="508"/>
      <c r="AQ51" s="508"/>
      <c r="AR51" s="509">
        <f>SUM(AR47:AR50)</f>
        <v>0</v>
      </c>
      <c r="AS51" s="509">
        <f>SUM(AS47:AS50)</f>
        <v>0</v>
      </c>
      <c r="AT51" s="509">
        <f>SUM(AT47:AT50)</f>
        <v>0</v>
      </c>
      <c r="AU51" s="455">
        <f>SUM(AU47:AU50)</f>
        <v>0</v>
      </c>
      <c r="BQ51" s="469"/>
    </row>
    <row r="52" spans="1:47" ht="15.5">
      <c r="A52" s="462" t="s">
        <v>22</v>
      </c>
      <c r="B52" s="462"/>
      <c r="C52" s="448"/>
      <c r="D52" s="448"/>
      <c r="E52" s="448"/>
      <c r="F52" s="448"/>
      <c r="G52" s="503"/>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8"/>
      <c r="AM52" s="508"/>
      <c r="AN52" s="508"/>
      <c r="AO52" s="508"/>
      <c r="AP52" s="508"/>
      <c r="AQ52" s="508"/>
      <c r="AR52" s="509">
        <f>AR51-AR46</f>
        <v>0</v>
      </c>
      <c r="AS52" s="509">
        <f>AS51-AS46</f>
        <v>0</v>
      </c>
      <c r="AT52" s="509">
        <f>AT51-AT46</f>
        <v>0</v>
      </c>
      <c r="AU52" s="509">
        <f>AU51-AU46</f>
        <v>0</v>
      </c>
    </row>
    <row r="53" spans="1:48">
      <c r="A53" s="465"/>
      <c r="B53" s="465"/>
      <c r="AR53" s="508"/>
      <c r="AS53" s="508"/>
      <c r="AT53" s="508"/>
      <c r="AU53" s="508"/>
      <c r="AV53" s="508"/>
    </row>
    <row r="54" spans="1:47" ht="43.5" customHeight="1">
      <c r="A54" s="444" t="s">
        <v>20</v>
      </c>
      <c r="B54" s="428" t="s">
        <v>2058</v>
      </c>
      <c r="C54" s="463" t="s">
        <v>2023</v>
      </c>
      <c r="D54" s="463" t="s">
        <v>2288</v>
      </c>
      <c r="E54" s="463"/>
      <c r="F54" s="443"/>
      <c r="G54" s="444" t="s">
        <v>21</v>
      </c>
      <c r="H54" s="428" t="s">
        <v>58</v>
      </c>
      <c r="I54" s="428" t="s">
        <v>56</v>
      </c>
      <c r="J54" s="428" t="s">
        <v>15</v>
      </c>
      <c r="K54" s="428" t="s">
        <v>16</v>
      </c>
      <c r="L54" s="428" t="s">
        <v>57</v>
      </c>
      <c r="M54" s="428" t="s">
        <v>17</v>
      </c>
      <c r="N54" s="428" t="s">
        <v>18</v>
      </c>
      <c r="O54" s="428" t="s">
        <v>39</v>
      </c>
      <c r="P54" s="428" t="s">
        <v>61</v>
      </c>
      <c r="Q54" s="428" t="s">
        <v>1860</v>
      </c>
      <c r="R54" s="428" t="s">
        <v>1861</v>
      </c>
      <c r="S54" s="428" t="s">
        <v>1862</v>
      </c>
      <c r="T54" s="428" t="s">
        <v>1863</v>
      </c>
      <c r="U54" s="428" t="s">
        <v>1864</v>
      </c>
      <c r="V54" s="428" t="s">
        <v>1865</v>
      </c>
      <c r="W54" s="428" t="s">
        <v>1866</v>
      </c>
      <c r="X54" s="428" t="s">
        <v>1867</v>
      </c>
      <c r="Y54" s="428" t="s">
        <v>1868</v>
      </c>
      <c r="Z54" s="428" t="s">
        <v>1869</v>
      </c>
      <c r="AA54" s="428" t="s">
        <v>1870</v>
      </c>
      <c r="AB54" s="428" t="s">
        <v>1902</v>
      </c>
      <c r="AC54" s="428" t="s">
        <v>1903</v>
      </c>
      <c r="AD54" s="428" t="s">
        <v>1904</v>
      </c>
      <c r="AE54" s="428" t="s">
        <v>1948</v>
      </c>
      <c r="AF54" s="428" t="s">
        <v>1949</v>
      </c>
      <c r="AG54" s="428" t="s">
        <v>1950</v>
      </c>
      <c r="AH54" s="428" t="s">
        <v>1951</v>
      </c>
      <c r="AI54" s="428" t="s">
        <v>1952</v>
      </c>
      <c r="AJ54" s="428" t="s">
        <v>1953</v>
      </c>
      <c r="AK54" s="428" t="s">
        <v>1954</v>
      </c>
      <c r="AL54" s="428" t="s">
        <v>1955</v>
      </c>
      <c r="AM54" s="428" t="s">
        <v>1956</v>
      </c>
      <c r="AN54" s="428" t="s">
        <v>1957</v>
      </c>
      <c r="AO54" s="428" t="s">
        <v>1958</v>
      </c>
      <c r="AP54" s="428" t="s">
        <v>1959</v>
      </c>
      <c r="AQ54" s="449"/>
      <c r="AR54" s="437" t="s">
        <v>3</v>
      </c>
      <c r="AS54" s="428" t="s">
        <v>5</v>
      </c>
      <c r="AT54" s="428" t="s">
        <v>1852</v>
      </c>
      <c r="AU54" s="437" t="s">
        <v>1854</v>
      </c>
    </row>
    <row r="55" spans="1:67" ht="15.75" customHeight="1">
      <c r="A55" s="310"/>
      <c r="B55" s="8"/>
      <c r="C55" s="699"/>
      <c r="D55" s="1059"/>
      <c r="E55" s="1059"/>
      <c r="F55" s="441"/>
      <c r="G55" s="461">
        <v>0</v>
      </c>
      <c r="H55" s="319"/>
      <c r="I55" s="319"/>
      <c r="J55" s="319"/>
      <c r="K55" s="319"/>
      <c r="L55" s="319"/>
      <c r="M55" s="319"/>
      <c r="N55" s="319"/>
      <c r="O55" s="319"/>
      <c r="P55" s="319"/>
      <c r="Q55" s="319"/>
      <c r="R55" s="319"/>
      <c r="S55" s="319"/>
      <c r="T55" s="319"/>
      <c r="U55" s="319"/>
      <c r="V55" s="319"/>
      <c r="W55" s="319"/>
      <c r="X55" s="277"/>
      <c r="Y55" s="277"/>
      <c r="Z55" s="277"/>
      <c r="AA55" s="277"/>
      <c r="AB55" s="277"/>
      <c r="AC55" s="277"/>
      <c r="AD55" s="277"/>
      <c r="AE55" s="277"/>
      <c r="AF55" s="277"/>
      <c r="AG55" s="277"/>
      <c r="AH55" s="277"/>
      <c r="AI55" s="277"/>
      <c r="AJ55" s="277"/>
      <c r="AK55" s="277"/>
      <c r="AL55" s="277"/>
      <c r="AM55" s="277"/>
      <c r="AN55" s="277"/>
      <c r="AO55" s="277"/>
      <c r="AP55" s="277"/>
      <c r="AQ55" s="421"/>
      <c r="AR55" s="438">
        <f>(SUM(H55:AP55))*G55</f>
        <v>0</v>
      </c>
      <c r="AS55" s="438">
        <f>IF('Study Information &amp; rates'!$B$43="Yes",AR55*0.287,0)</f>
        <v>0</v>
      </c>
      <c r="AT55" s="438">
        <f>IF('Study Information &amp; rates'!$B$43="No",0,AR55*0.05)</f>
        <v>0</v>
      </c>
      <c r="AU55" s="438">
        <f>IF('Study Information &amp; rates'!$B$44="No",AR55+AS55+AT55,'Set-up and other costs'!$B$18*(AR55+AS55+AT55))</f>
        <v>0</v>
      </c>
      <c r="BG55" s="183" t="b">
        <f>IF($B55='Look Up'!$A$5,$H55)</f>
        <v>0</v>
      </c>
      <c r="BH55" s="183" t="b">
        <f>IF($B55='Look Up'!$A$6,$H55)</f>
        <v>0</v>
      </c>
      <c r="BI55" s="183" t="b">
        <f>IF($B55='Look Up'!$A$7,$H55)</f>
        <v>0</v>
      </c>
      <c r="BJ55" s="183" t="b">
        <f>IF($B55='Look Up'!$A$7,$H55)</f>
        <v>0</v>
      </c>
      <c r="BO55" s="183" t="str">
        <f>C55&amp;B55</f>
        <v/>
      </c>
    </row>
    <row r="56" spans="1:67">
      <c r="A56" s="310"/>
      <c r="B56" s="8"/>
      <c r="C56" s="442"/>
      <c r="D56" s="1059"/>
      <c r="E56" s="1059"/>
      <c r="F56" s="460"/>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302"/>
      <c r="AD56" s="302"/>
      <c r="AE56" s="302"/>
      <c r="AF56" s="302"/>
      <c r="AG56" s="302"/>
      <c r="AH56" s="302"/>
      <c r="AI56" s="302"/>
      <c r="AJ56" s="302"/>
      <c r="AK56" s="302"/>
      <c r="AL56" s="302"/>
      <c r="AM56" s="302"/>
      <c r="AN56" s="302"/>
      <c r="AO56" s="302"/>
      <c r="AP56" s="302"/>
      <c r="AQ56" s="423"/>
      <c r="AR56" s="438">
        <f>(SUM(H56:AP56))*G56</f>
        <v>0</v>
      </c>
      <c r="AS56" s="438">
        <f>IF('Study Information &amp; rates'!$B$43="Yes",AR56*0.287,0)</f>
        <v>0</v>
      </c>
      <c r="AT56" s="438">
        <f>IF('Study Information &amp; rates'!$B$43="No",0,AR56*0.05)</f>
        <v>0</v>
      </c>
      <c r="AU56" s="438">
        <f>IF('Study Information &amp; rates'!$B$44="No",AR56+AS56+AT56,'Set-up and other costs'!$B$18*(AR56+AS56+AT56))</f>
        <v>0</v>
      </c>
      <c r="BG56" s="183" t="b">
        <f>IF($B56='Look Up'!$A$5,$H56)</f>
        <v>0</v>
      </c>
      <c r="BH56" s="183" t="b">
        <f>IF($B56='Look Up'!$A$6,$H56)</f>
        <v>0</v>
      </c>
      <c r="BI56" s="183" t="b">
        <f>IF($B56='Look Up'!$A$7,$H56)</f>
        <v>0</v>
      </c>
      <c r="BJ56" s="183" t="b">
        <f>IF($B56='Look Up'!$A$7,$H56)</f>
        <v>0</v>
      </c>
      <c r="BO56" s="183" t="str">
        <f>C56&amp;B56</f>
        <v/>
      </c>
    </row>
    <row r="57" spans="1:67">
      <c r="A57" s="310"/>
      <c r="B57" s="8"/>
      <c r="C57" s="442"/>
      <c r="D57" s="1059"/>
      <c r="E57" s="1059"/>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3"/>
      <c r="AR57" s="438">
        <f>(SUM(H57:AP57))*G57</f>
        <v>0</v>
      </c>
      <c r="AS57" s="438">
        <f>IF('Study Information &amp; rates'!$B$43="Yes",AR57*0.287,0)</f>
        <v>0</v>
      </c>
      <c r="AT57" s="438">
        <f>IF('Study Information &amp; rates'!$B$43="No",0,AR57*0.05)</f>
        <v>0</v>
      </c>
      <c r="AU57" s="438">
        <f>IF('Study Information &amp; rates'!$B$44="No",AR57+AS57+AT57,'Set-up and other costs'!$B$18*(AR57+AS57+AT57))</f>
        <v>0</v>
      </c>
      <c r="BG57" s="183" t="b">
        <f>IF($B57='Look Up'!$A$5,$H57)</f>
        <v>0</v>
      </c>
      <c r="BH57" s="183" t="b">
        <f>IF($B57='Look Up'!$A$6,$H57)</f>
        <v>0</v>
      </c>
      <c r="BI57" s="183" t="b">
        <f>IF($B57='Look Up'!$A$7,$H57)</f>
        <v>0</v>
      </c>
      <c r="BJ57" s="183" t="b">
        <f>IF($B57='Look Up'!$A$7,$H57)</f>
        <v>0</v>
      </c>
      <c r="BO57" s="183" t="str">
        <f>C57&amp;B57</f>
        <v/>
      </c>
    </row>
    <row r="58" spans="1:67">
      <c r="A58" s="310"/>
      <c r="B58" s="8"/>
      <c r="C58" s="442"/>
      <c r="D58" s="1059"/>
      <c r="E58" s="1059"/>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3"/>
      <c r="AR58" s="438">
        <f>(SUM(H58:AP58))*G58</f>
        <v>0</v>
      </c>
      <c r="AS58" s="438">
        <f>IF('Study Information &amp; rates'!$B$43="Yes",AR58*0.287,0)</f>
        <v>0</v>
      </c>
      <c r="AT58" s="438">
        <f>IF('Study Information &amp; rates'!$B$43="No",0,AR58*0.05)</f>
        <v>0</v>
      </c>
      <c r="AU58" s="438">
        <f>IF('Study Information &amp; rates'!$B$44="No",AR58+AS58+AT58,'Set-up and other costs'!$B$18*(AR58+AS58+AT58))</f>
        <v>0</v>
      </c>
      <c r="BG58" s="183" t="b">
        <f>IF($B58='Look Up'!$A$5,$H58)</f>
        <v>0</v>
      </c>
      <c r="BH58" s="183" t="b">
        <f>IF($B58='Look Up'!$A$6,$H58)</f>
        <v>0</v>
      </c>
      <c r="BI58" s="183" t="b">
        <f>IF($B58='Look Up'!$A$7,$H58)</f>
        <v>0</v>
      </c>
      <c r="BJ58" s="183" t="b">
        <f>IF($B58='Look Up'!$A$7,$H58)</f>
        <v>0</v>
      </c>
      <c r="BO58" s="183" t="str">
        <f>C58&amp;B58</f>
        <v/>
      </c>
    </row>
    <row r="59" spans="1:67" ht="15.75" customHeight="1">
      <c r="A59" s="310"/>
      <c r="B59" s="8"/>
      <c r="C59" s="442"/>
      <c r="D59" s="1059"/>
      <c r="E59" s="1059"/>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3"/>
      <c r="AR59" s="438">
        <f>(SUM(H59:AP59))*G59</f>
        <v>0</v>
      </c>
      <c r="AS59" s="438">
        <f>IF('Study Information &amp; rates'!$B$43="Yes",AR59*0.287,0)</f>
        <v>0</v>
      </c>
      <c r="AT59" s="438">
        <f>IF('Study Information &amp; rates'!$B$43="No",0,AR59*0.05)</f>
        <v>0</v>
      </c>
      <c r="AU59" s="438">
        <f>IF('Study Information &amp; rates'!$B$44="No",AR59+AS59+AT59,'Set-up and other costs'!$B$18*(AR59+AS59+AT59))</f>
        <v>0</v>
      </c>
      <c r="BG59" s="183" t="b">
        <f>IF($B59='Look Up'!$A$5,$H59)</f>
        <v>0</v>
      </c>
      <c r="BH59" s="183" t="b">
        <f>IF($B59='Look Up'!$A$6,$H59)</f>
        <v>0</v>
      </c>
      <c r="BI59" s="183" t="b">
        <f>IF($B59='Look Up'!$A$7,$H59)</f>
        <v>0</v>
      </c>
      <c r="BJ59" s="183" t="b">
        <f>IF($B59='Look Up'!$A$7,$H59)</f>
        <v>0</v>
      </c>
      <c r="BO59" s="183" t="str">
        <f>C59&amp;B59</f>
        <v/>
      </c>
    </row>
    <row r="60" spans="1:67">
      <c r="A60" s="301"/>
      <c r="B60" s="8"/>
      <c r="C60" s="442"/>
      <c r="D60" s="1059"/>
      <c r="E60" s="1059"/>
      <c r="F60" s="460"/>
      <c r="G60" s="461">
        <f>IF(ISERROR(VLOOKUP(A60,'Data Sheet Costs'!$A:$C,3,FALSE)),0,VLOOKUP(A60,'Data Sheet Costs'!$A:$C,3,FALSE))</f>
        <v>0</v>
      </c>
      <c r="H60" s="302"/>
      <c r="I60" s="303"/>
      <c r="J60" s="302"/>
      <c r="K60" s="302"/>
      <c r="L60" s="302"/>
      <c r="M60" s="302"/>
      <c r="N60" s="302"/>
      <c r="O60" s="302"/>
      <c r="P60" s="303"/>
      <c r="Q60" s="302"/>
      <c r="R60" s="303"/>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3"/>
      <c r="AR60" s="438">
        <f>(SUM(H60:AP60))*G60</f>
        <v>0</v>
      </c>
      <c r="AS60" s="438">
        <f>IF('Study Information &amp; rates'!$B$43="Yes",AR60*0.287,0)</f>
        <v>0</v>
      </c>
      <c r="AT60" s="438">
        <f>IF('Study Information &amp; rates'!$B$43="No",0,AR60*0.05)</f>
        <v>0</v>
      </c>
      <c r="AU60" s="438">
        <f>IF('Study Information &amp; rates'!$B$44="No",AR60+AS60+AT60,'Set-up and other costs'!$B$18*(AR60+AS60+AT60))</f>
        <v>0</v>
      </c>
      <c r="BG60" s="183" t="b">
        <f>IF($B60='Look Up'!$A$5,$H60)</f>
        <v>0</v>
      </c>
      <c r="BH60" s="183" t="b">
        <f>IF($B60='Look Up'!$A$6,$H60)</f>
        <v>0</v>
      </c>
      <c r="BI60" s="183" t="b">
        <f>IF($B60='Look Up'!$A$7,$H60)</f>
        <v>0</v>
      </c>
      <c r="BJ60" s="183" t="b">
        <f>IF($B60='Look Up'!$A$7,$H60)</f>
        <v>0</v>
      </c>
      <c r="BO60" s="183" t="str">
        <f>C60&amp;B60</f>
        <v/>
      </c>
    </row>
    <row r="61" spans="1:67" ht="15.75" customHeight="1">
      <c r="A61" s="301"/>
      <c r="B61" s="8"/>
      <c r="C61" s="442"/>
      <c r="D61" s="1059"/>
      <c r="E61" s="1059"/>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3"/>
      <c r="AR61" s="438">
        <f>(SUM(H61:AP61))*G61</f>
        <v>0</v>
      </c>
      <c r="AS61" s="438">
        <f>IF('Study Information &amp; rates'!$B$43="Yes",AR61*0.287,0)</f>
        <v>0</v>
      </c>
      <c r="AT61" s="438">
        <f>IF('Study Information &amp; rates'!$B$43="No",0,AR61*0.05)</f>
        <v>0</v>
      </c>
      <c r="AU61" s="438">
        <f>IF('Study Information &amp; rates'!$B$44="No",AR61+AS61+AT61,'Set-up and other costs'!$B$18*(AR61+AS61+AT61))</f>
        <v>0</v>
      </c>
      <c r="BG61" s="183" t="b">
        <f>IF($B61='Look Up'!$A$5,$H61)</f>
        <v>0</v>
      </c>
      <c r="BH61" s="183" t="b">
        <f>IF($B61='Look Up'!$A$6,$H61)</f>
        <v>0</v>
      </c>
      <c r="BI61" s="183" t="b">
        <f>IF($B61='Look Up'!$A$7,$H61)</f>
        <v>0</v>
      </c>
      <c r="BJ61" s="183" t="b">
        <f>IF($B61='Look Up'!$A$7,$H61)</f>
        <v>0</v>
      </c>
      <c r="BO61" s="183" t="str">
        <f>C61&amp;B61</f>
        <v/>
      </c>
    </row>
    <row r="62" spans="1:67">
      <c r="A62" s="301"/>
      <c r="B62" s="8"/>
      <c r="C62" s="442"/>
      <c r="D62" s="1059"/>
      <c r="E62" s="1059"/>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3"/>
      <c r="AR62" s="438">
        <f>(SUM(H62:AP62))*G62</f>
        <v>0</v>
      </c>
      <c r="AS62" s="438">
        <f>IF('Study Information &amp; rates'!$B$43="Yes",AR62*0.287,0)</f>
        <v>0</v>
      </c>
      <c r="AT62" s="438">
        <f>IF('Study Information &amp; rates'!$B$43="No",0,AR62*0.05)</f>
        <v>0</v>
      </c>
      <c r="AU62" s="438">
        <f>IF('Study Information &amp; rates'!$B$44="No",AR62+AS62+AT62,'Set-up and other costs'!$B$18*(AR62+AS62+AT62))</f>
        <v>0</v>
      </c>
      <c r="BG62" s="183" t="b">
        <f>IF($B62='Look Up'!$A$5,$H62)</f>
        <v>0</v>
      </c>
      <c r="BH62" s="183" t="b">
        <f>IF($B62='Look Up'!$A$6,$H62)</f>
        <v>0</v>
      </c>
      <c r="BI62" s="183" t="b">
        <f>IF($B62='Look Up'!$A$7,$H62)</f>
        <v>0</v>
      </c>
      <c r="BJ62" s="183" t="b">
        <f>IF($B62='Look Up'!$A$7,$H62)</f>
        <v>0</v>
      </c>
      <c r="BO62" s="183" t="str">
        <f>C62&amp;B62</f>
        <v/>
      </c>
    </row>
    <row r="63" spans="1:67">
      <c r="A63" s="8"/>
      <c r="B63" s="8"/>
      <c r="C63" s="442"/>
      <c r="D63" s="1059"/>
      <c r="E63" s="1059"/>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27"/>
      <c r="Y63" s="327"/>
      <c r="Z63" s="327"/>
      <c r="AA63" s="327"/>
      <c r="AB63" s="327" t="s">
        <v>34</v>
      </c>
      <c r="AC63" s="327" t="s">
        <v>34</v>
      </c>
      <c r="AD63" s="327" t="s">
        <v>34</v>
      </c>
      <c r="AE63" s="327" t="s">
        <v>34</v>
      </c>
      <c r="AF63" s="327" t="s">
        <v>34</v>
      </c>
      <c r="AG63" s="302"/>
      <c r="AH63" s="302"/>
      <c r="AI63" s="302"/>
      <c r="AJ63" s="302"/>
      <c r="AK63" s="302"/>
      <c r="AL63" s="302"/>
      <c r="AM63" s="302"/>
      <c r="AN63" s="302"/>
      <c r="AO63" s="302"/>
      <c r="AP63" s="302"/>
      <c r="AQ63" s="423"/>
      <c r="AR63" s="438">
        <f>(SUM(H63:AP63))*G63</f>
        <v>0</v>
      </c>
      <c r="AS63" s="438">
        <f>IF('Study Information &amp; rates'!$B$43="Yes",AR63*0.287,0)</f>
        <v>0</v>
      </c>
      <c r="AT63" s="438">
        <f>IF('Study Information &amp; rates'!$B$43="No",0,AR63*0.05)</f>
        <v>0</v>
      </c>
      <c r="AU63" s="438">
        <f>IF('Study Information &amp; rates'!$B$44="No",AR63+AS63+AT63,'Set-up and other costs'!$B$18*(AR63+AS63+AT63))</f>
        <v>0</v>
      </c>
      <c r="BG63" s="183" t="b">
        <f>IF($B63='Look Up'!$A$5,$H63)</f>
        <v>0</v>
      </c>
      <c r="BH63" s="183" t="b">
        <f>IF($B63='Look Up'!$A$6,$H63)</f>
        <v>0</v>
      </c>
      <c r="BI63" s="183" t="b">
        <f>IF($B63='Look Up'!$A$7,$H63)</f>
        <v>0</v>
      </c>
      <c r="BJ63" s="183" t="b">
        <f>IF($B63='Look Up'!$A$7,$H63)</f>
        <v>0</v>
      </c>
      <c r="BO63" s="183" t="str">
        <f>C63&amp;B63</f>
        <v/>
      </c>
    </row>
    <row r="64" spans="1:67" ht="15.75" customHeight="1">
      <c r="A64" s="8"/>
      <c r="B64" s="8"/>
      <c r="C64" s="442"/>
      <c r="D64" s="1059"/>
      <c r="E64" s="1059"/>
      <c r="F64" s="460"/>
      <c r="G64" s="461">
        <v>0</v>
      </c>
      <c r="H64" s="302"/>
      <c r="I64" s="302"/>
      <c r="J64" s="302"/>
      <c r="K64" s="302"/>
      <c r="L64" s="302"/>
      <c r="M64" s="302"/>
      <c r="N64" s="302"/>
      <c r="O64" s="302"/>
      <c r="P64" s="302"/>
      <c r="Q64" s="302"/>
      <c r="R64" s="302"/>
      <c r="S64" s="302"/>
      <c r="T64" s="302"/>
      <c r="U64" s="302"/>
      <c r="V64" s="302"/>
      <c r="W64" s="302"/>
      <c r="X64" s="327"/>
      <c r="Y64" s="327"/>
      <c r="Z64" s="327"/>
      <c r="AA64" s="327"/>
      <c r="AB64" s="327" t="s">
        <v>34</v>
      </c>
      <c r="AC64" s="327" t="s">
        <v>34</v>
      </c>
      <c r="AD64" s="327" t="s">
        <v>34</v>
      </c>
      <c r="AE64" s="327" t="s">
        <v>34</v>
      </c>
      <c r="AF64" s="327" t="s">
        <v>34</v>
      </c>
      <c r="AG64" s="302"/>
      <c r="AH64" s="302"/>
      <c r="AI64" s="302"/>
      <c r="AJ64" s="302"/>
      <c r="AK64" s="302"/>
      <c r="AL64" s="302"/>
      <c r="AM64" s="302"/>
      <c r="AN64" s="302"/>
      <c r="AO64" s="302"/>
      <c r="AP64" s="302"/>
      <c r="AQ64" s="423"/>
      <c r="AR64" s="438">
        <f>(SUM(H64:AP64))*G64</f>
        <v>0</v>
      </c>
      <c r="AS64" s="438">
        <f>IF('Study Information &amp; rates'!$B$43="Yes",AR64*0.287,0)</f>
        <v>0</v>
      </c>
      <c r="AT64" s="438">
        <f>IF('Study Information &amp; rates'!$B$43="No",0,AR64*0.05)</f>
        <v>0</v>
      </c>
      <c r="AU64" s="438">
        <f>IF('Study Information &amp; rates'!$B$44="No",AR64+AS64+AT64,'Set-up and other costs'!$B$18*(AR64+AS64+AT64))</f>
        <v>0</v>
      </c>
      <c r="BG64" s="183" t="b">
        <f>IF($B64='Look Up'!$A$5,$H64)</f>
        <v>0</v>
      </c>
      <c r="BH64" s="183" t="b">
        <f>IF($B64='Look Up'!$A$6,$H64)</f>
        <v>0</v>
      </c>
      <c r="BI64" s="183" t="b">
        <f>IF($B64='Look Up'!$A$7,$H64)</f>
        <v>0</v>
      </c>
      <c r="BJ64" s="183" t="b">
        <f>IF($B64='Look Up'!$A$7,$H64)</f>
        <v>0</v>
      </c>
      <c r="BO64" s="183" t="str">
        <f>C64&amp;B64</f>
        <v/>
      </c>
    </row>
    <row r="65" spans="1:67">
      <c r="A65" s="8"/>
      <c r="B65" s="8"/>
      <c r="C65" s="442"/>
      <c r="D65" s="1059"/>
      <c r="E65" s="1059"/>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27"/>
      <c r="Y65" s="327"/>
      <c r="Z65" s="327"/>
      <c r="AA65" s="327"/>
      <c r="AB65" s="327" t="s">
        <v>34</v>
      </c>
      <c r="AC65" s="327" t="s">
        <v>34</v>
      </c>
      <c r="AD65" s="327" t="s">
        <v>34</v>
      </c>
      <c r="AE65" s="327" t="s">
        <v>34</v>
      </c>
      <c r="AF65" s="327" t="s">
        <v>34</v>
      </c>
      <c r="AG65" s="302"/>
      <c r="AH65" s="302"/>
      <c r="AI65" s="302"/>
      <c r="AJ65" s="302"/>
      <c r="AK65" s="302"/>
      <c r="AL65" s="302"/>
      <c r="AM65" s="302"/>
      <c r="AN65" s="302"/>
      <c r="AO65" s="302"/>
      <c r="AP65" s="302"/>
      <c r="AQ65" s="423"/>
      <c r="AR65" s="438">
        <f>(SUM(H65:AP65))*G65</f>
        <v>0</v>
      </c>
      <c r="AS65" s="438">
        <f>IF('Study Information &amp; rates'!$B$43="Yes",AR65*0.287,0)</f>
        <v>0</v>
      </c>
      <c r="AT65" s="438">
        <f>IF('Study Information &amp; rates'!$B$43="No",0,AR65*0.05)</f>
        <v>0</v>
      </c>
      <c r="AU65" s="438">
        <f>IF('Study Information &amp; rates'!$B$44="No",AR65+AS65+AT65,'Set-up and other costs'!$B$18*(AR65+AS65+AT65))</f>
        <v>0</v>
      </c>
      <c r="BG65" s="183" t="b">
        <f>IF($B65='Look Up'!$A$5,$H65)</f>
        <v>0</v>
      </c>
      <c r="BH65" s="183" t="b">
        <f>IF($B65='Look Up'!$A$6,$H65)</f>
        <v>0</v>
      </c>
      <c r="BI65" s="183" t="b">
        <f>IF($B65='Look Up'!$A$7,$H65)</f>
        <v>0</v>
      </c>
      <c r="BJ65" s="183" t="b">
        <f>IF($B65='Look Up'!$A$7,$H65)</f>
        <v>0</v>
      </c>
      <c r="BO65" s="183" t="str">
        <f>C65&amp;B65</f>
        <v/>
      </c>
    </row>
    <row r="66" spans="1:67">
      <c r="A66" s="8"/>
      <c r="B66" s="8"/>
      <c r="C66" s="442"/>
      <c r="D66" s="1059"/>
      <c r="E66" s="1059"/>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3"/>
      <c r="AR66" s="438">
        <f>(SUM(H66:AP66))*G66</f>
        <v>0</v>
      </c>
      <c r="AS66" s="438">
        <f>IF('Study Information &amp; rates'!$B$43="Yes",AR66*0.287,0)</f>
        <v>0</v>
      </c>
      <c r="AT66" s="438">
        <f>IF('Study Information &amp; rates'!$B$43="No",0,AR66*0.05)</f>
        <v>0</v>
      </c>
      <c r="AU66" s="438">
        <f>IF('Study Information &amp; rates'!$B$44="No",AR66+AS66+AT66,'Set-up and other costs'!$B$18*(AR66+AS66+AT66))</f>
        <v>0</v>
      </c>
      <c r="BG66" s="183" t="b">
        <f>IF($B66='Look Up'!$A$5,$H66)</f>
        <v>0</v>
      </c>
      <c r="BH66" s="183" t="b">
        <f>IF($B66='Look Up'!$A$6,$H66)</f>
        <v>0</v>
      </c>
      <c r="BI66" s="183" t="b">
        <f>IF($B66='Look Up'!$A$7,$H66)</f>
        <v>0</v>
      </c>
      <c r="BJ66" s="183" t="b">
        <f>IF($B66='Look Up'!$A$7,$H66)</f>
        <v>0</v>
      </c>
      <c r="BO66" s="183" t="str">
        <f>C66&amp;B66</f>
        <v/>
      </c>
    </row>
    <row r="67" spans="1:67" ht="15.75" customHeight="1">
      <c r="A67" s="8"/>
      <c r="B67" s="8"/>
      <c r="C67" s="442"/>
      <c r="D67" s="1059"/>
      <c r="E67" s="1059"/>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3"/>
      <c r="AR67" s="438">
        <f>(SUM(H67:AP67))*G67</f>
        <v>0</v>
      </c>
      <c r="AS67" s="438">
        <f>IF('Study Information &amp; rates'!$B$43="Yes",AR67*0.287,0)</f>
        <v>0</v>
      </c>
      <c r="AT67" s="438">
        <f>IF('Study Information &amp; rates'!$B$43="No",0,AR67*0.05)</f>
        <v>0</v>
      </c>
      <c r="AU67" s="438">
        <f>IF('Study Information &amp; rates'!$B$44="No",AR67+AS67+AT67,'Set-up and other costs'!$B$18*(AR67+AS67+AT67))</f>
        <v>0</v>
      </c>
      <c r="BG67" s="183" t="b">
        <f>IF($B67='Look Up'!$A$5,$H67)</f>
        <v>0</v>
      </c>
      <c r="BH67" s="183" t="b">
        <f>IF($B67='Look Up'!$A$6,$H67)</f>
        <v>0</v>
      </c>
      <c r="BI67" s="183" t="b">
        <f>IF($B67='Look Up'!$A$7,$H67)</f>
        <v>0</v>
      </c>
      <c r="BJ67" s="183" t="b">
        <f>IF($B67='Look Up'!$A$7,$H67)</f>
        <v>0</v>
      </c>
      <c r="BO67" s="183" t="str">
        <f>C67&amp;B67</f>
        <v/>
      </c>
    </row>
    <row r="68" spans="1:67">
      <c r="A68" s="8"/>
      <c r="B68" s="8"/>
      <c r="C68" s="442"/>
      <c r="D68" s="1059"/>
      <c r="E68" s="1059"/>
      <c r="F68" s="460"/>
      <c r="G68" s="461">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3"/>
      <c r="AR68" s="438">
        <f>(SUM(H68:AP68))*G68</f>
        <v>0</v>
      </c>
      <c r="AS68" s="438">
        <f>IF('Study Information &amp; rates'!$B$43="Yes",AR68*0.287,0)</f>
        <v>0</v>
      </c>
      <c r="AT68" s="438">
        <f>IF('Study Information &amp; rates'!$B$43="No",0,AR68*0.05)</f>
        <v>0</v>
      </c>
      <c r="AU68" s="438">
        <f>IF('Study Information &amp; rates'!$B$44="No",AR68+AS68+AT68,'Set-up and other costs'!$B$18*(AR68+AS68+AT68))</f>
        <v>0</v>
      </c>
      <c r="BG68" s="183" t="b">
        <f>IF($B68='Look Up'!$A$5,$H68)</f>
        <v>0</v>
      </c>
      <c r="BH68" s="183" t="b">
        <f>IF($B68='Look Up'!$A$6,$H68)</f>
        <v>0</v>
      </c>
      <c r="BI68" s="183" t="b">
        <f>IF($B68='Look Up'!$A$7,$H68)</f>
        <v>0</v>
      </c>
      <c r="BJ68" s="183" t="b">
        <f>IF($B68='Look Up'!$A$7,$H68)</f>
        <v>0</v>
      </c>
      <c r="BO68" s="183" t="str">
        <f>C68&amp;B68</f>
        <v/>
      </c>
    </row>
    <row r="69" spans="1:67">
      <c r="A69" s="8"/>
      <c r="B69" s="8"/>
      <c r="C69" s="442"/>
      <c r="D69" s="1059"/>
      <c r="E69" s="1059"/>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3"/>
      <c r="AR69" s="438">
        <f>(SUM(H69:AP69))*G69</f>
        <v>0</v>
      </c>
      <c r="AS69" s="438">
        <f>IF('Study Information &amp; rates'!$B$43="Yes",AR69*0.287,0)</f>
        <v>0</v>
      </c>
      <c r="AT69" s="438">
        <f>IF('Study Information &amp; rates'!$B$43="No",0,AR69*0.05)</f>
        <v>0</v>
      </c>
      <c r="AU69" s="438">
        <f>IF('Study Information &amp; rates'!$B$44="No",AR69+AS69+AT69,'Set-up and other costs'!$B$18*(AR69+AS69+AT69))</f>
        <v>0</v>
      </c>
      <c r="BG69" s="183" t="b">
        <f>IF($B69='Look Up'!$A$5,$H69)</f>
        <v>0</v>
      </c>
      <c r="BH69" s="183" t="b">
        <f>IF($B69='Look Up'!$A$6,$H69)</f>
        <v>0</v>
      </c>
      <c r="BI69" s="183" t="b">
        <f>IF($B69='Look Up'!$A$7,$H69)</f>
        <v>0</v>
      </c>
      <c r="BJ69" s="183" t="b">
        <f>IF($B69='Look Up'!$A$7,$H69)</f>
        <v>0</v>
      </c>
      <c r="BO69" s="183" t="str">
        <f>C69&amp;B69</f>
        <v/>
      </c>
    </row>
    <row r="70" spans="1:67" ht="15.75" customHeight="1">
      <c r="A70" s="8"/>
      <c r="B70" s="8"/>
      <c r="C70" s="442"/>
      <c r="D70" s="1059"/>
      <c r="E70" s="1059"/>
      <c r="F70" s="460"/>
      <c r="G70" s="461">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3"/>
      <c r="AR70" s="438">
        <f>(SUM(H70:AP70))*G70</f>
        <v>0</v>
      </c>
      <c r="AS70" s="438">
        <f>IF('Study Information &amp; rates'!$B$43="Yes",AR70*0.287,0)</f>
        <v>0</v>
      </c>
      <c r="AT70" s="438">
        <f>IF('Study Information &amp; rates'!$B$43="No",0,AR70*0.05)</f>
        <v>0</v>
      </c>
      <c r="AU70" s="438">
        <f>IF('Study Information &amp; rates'!$B$44="No",AR70+AS70+AT70,'Set-up and other costs'!$B$18*(AR70+AS70+AT70))</f>
        <v>0</v>
      </c>
      <c r="BG70" s="183" t="b">
        <f>IF($B70='Look Up'!$A$5,$H70)</f>
        <v>0</v>
      </c>
      <c r="BH70" s="183" t="b">
        <f>IF($B70='Look Up'!$A$6,$H70)</f>
        <v>0</v>
      </c>
      <c r="BI70" s="183" t="b">
        <f>IF($B70='Look Up'!$A$7,$H70)</f>
        <v>0</v>
      </c>
      <c r="BJ70" s="183" t="b">
        <f>IF($B70='Look Up'!$A$7,$H70)</f>
        <v>0</v>
      </c>
      <c r="BO70" s="183" t="str">
        <f>C70&amp;B70</f>
        <v/>
      </c>
    </row>
    <row r="71" spans="1:67">
      <c r="A71" s="8"/>
      <c r="B71" s="8"/>
      <c r="C71" s="442"/>
      <c r="D71" s="1059"/>
      <c r="E71" s="1059"/>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3"/>
      <c r="AR71" s="438">
        <f>(SUM(H71:AP71))*G71</f>
        <v>0</v>
      </c>
      <c r="AS71" s="438">
        <f>IF('Study Information &amp; rates'!$B$43="Yes",AR71*0.287,0)</f>
        <v>0</v>
      </c>
      <c r="AT71" s="438">
        <f>IF('Study Information &amp; rates'!$B$43="No",0,AR71*0.05)</f>
        <v>0</v>
      </c>
      <c r="AU71" s="438">
        <f>IF('Study Information &amp; rates'!$B$44="No",AR71+AS71+AT71,'Set-up and other costs'!$B$18*(AR71+AS71+AT71))</f>
        <v>0</v>
      </c>
      <c r="BG71" s="183" t="b">
        <f>IF($B71='Look Up'!$A$5,$H71)</f>
        <v>0</v>
      </c>
      <c r="BH71" s="183" t="b">
        <f>IF($B71='Look Up'!$A$6,$H71)</f>
        <v>0</v>
      </c>
      <c r="BI71" s="183" t="b">
        <f>IF($B71='Look Up'!$A$7,$H71)</f>
        <v>0</v>
      </c>
      <c r="BJ71" s="183" t="b">
        <f>IF($B71='Look Up'!$A$7,$H71)</f>
        <v>0</v>
      </c>
      <c r="BO71" s="183" t="str">
        <f>C71&amp;B71</f>
        <v/>
      </c>
    </row>
    <row r="72" spans="1:67">
      <c r="A72" s="8"/>
      <c r="B72" s="8"/>
      <c r="C72" s="442"/>
      <c r="D72" s="1059"/>
      <c r="E72" s="1059"/>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3"/>
      <c r="AR72" s="438">
        <f>(SUM(H72:AP72))*G72</f>
        <v>0</v>
      </c>
      <c r="AS72" s="438">
        <f>IF('Study Information &amp; rates'!$B$43="Yes",AR72*0.287,0)</f>
        <v>0</v>
      </c>
      <c r="AT72" s="438">
        <f>IF('Study Information &amp; rates'!$B$43="No",0,AR72*0.05)</f>
        <v>0</v>
      </c>
      <c r="AU72" s="438">
        <f>IF('Study Information &amp; rates'!$B$44="No",AR72+AS72+AT72,'Set-up and other costs'!$B$18*(AR72+AS72+AT72))</f>
        <v>0</v>
      </c>
      <c r="BG72" s="183" t="b">
        <f>IF($B72='Look Up'!$A$5,$H72)</f>
        <v>0</v>
      </c>
      <c r="BH72" s="183" t="b">
        <f>IF($B72='Look Up'!$A$6,$H72)</f>
        <v>0</v>
      </c>
      <c r="BI72" s="183" t="b">
        <f>IF($B72='Look Up'!$A$7,$H72)</f>
        <v>0</v>
      </c>
      <c r="BJ72" s="183" t="b">
        <f>IF($B72='Look Up'!$A$7,$H72)</f>
        <v>0</v>
      </c>
      <c r="BO72" s="183" t="str">
        <f>C72&amp;B72</f>
        <v/>
      </c>
    </row>
    <row r="73" spans="1:67" ht="15.75" customHeight="1">
      <c r="A73" s="8"/>
      <c r="B73" s="8"/>
      <c r="C73" s="442"/>
      <c r="D73" s="1059"/>
      <c r="E73" s="1059"/>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3"/>
      <c r="AR73" s="438">
        <f>(SUM(H73:AP73))*G73</f>
        <v>0</v>
      </c>
      <c r="AS73" s="438">
        <f>IF('Study Information &amp; rates'!$B$43="Yes",AR73*0.287,0)</f>
        <v>0</v>
      </c>
      <c r="AT73" s="438">
        <f>IF('Study Information &amp; rates'!$B$43="No",0,AR73*0.05)</f>
        <v>0</v>
      </c>
      <c r="AU73" s="438">
        <f>IF('Study Information &amp; rates'!$B$44="No",AR73+AS73+AT73,'Set-up and other costs'!$B$18*(AR73+AS73+AT73))</f>
        <v>0</v>
      </c>
      <c r="BG73" s="183" t="b">
        <f>IF($B73='Look Up'!$A$5,$H73)</f>
        <v>0</v>
      </c>
      <c r="BH73" s="183" t="b">
        <f>IF($B73='Look Up'!$A$6,$H73)</f>
        <v>0</v>
      </c>
      <c r="BI73" s="183" t="b">
        <f>IF($B73='Look Up'!$A$7,$H73)</f>
        <v>0</v>
      </c>
      <c r="BJ73" s="183" t="b">
        <f>IF($B73='Look Up'!$A$7,$H73)</f>
        <v>0</v>
      </c>
      <c r="BO73" s="183" t="str">
        <f>C73&amp;B73</f>
        <v/>
      </c>
    </row>
    <row r="74" spans="1:67">
      <c r="A74" s="8"/>
      <c r="B74" s="8"/>
      <c r="C74" s="442"/>
      <c r="D74" s="1059"/>
      <c r="E74" s="1059"/>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3"/>
      <c r="AR74" s="438">
        <f>(SUM(H74:AP74))*G74</f>
        <v>0</v>
      </c>
      <c r="AS74" s="438">
        <f>IF('Study Information &amp; rates'!$B$43="Yes",AR74*0.287,0)</f>
        <v>0</v>
      </c>
      <c r="AT74" s="438">
        <f>IF('Study Information &amp; rates'!$B$43="No",0,AR74*0.05)</f>
        <v>0</v>
      </c>
      <c r="AU74" s="438">
        <f>IF('Study Information &amp; rates'!$B$44="No",AR74+AS74+AT74,'Set-up and other costs'!$B$18*(AR74+AS74+AT74))</f>
        <v>0</v>
      </c>
      <c r="BG74" s="183" t="b">
        <f>IF($B74='Look Up'!$A$5,$H74)</f>
        <v>0</v>
      </c>
      <c r="BH74" s="183" t="b">
        <f>IF($B74='Look Up'!$A$6,$H74)</f>
        <v>0</v>
      </c>
      <c r="BI74" s="183" t="b">
        <f>IF($B74='Look Up'!$A$7,$H74)</f>
        <v>0</v>
      </c>
      <c r="BJ74" s="183" t="b">
        <f>IF($B74='Look Up'!$A$7,$H74)</f>
        <v>0</v>
      </c>
      <c r="BO74" s="183" t="str">
        <f>C74&amp;B74</f>
        <v/>
      </c>
    </row>
    <row r="75" spans="1:67">
      <c r="A75" s="8"/>
      <c r="B75" s="8"/>
      <c r="C75" s="442"/>
      <c r="D75" s="1059"/>
      <c r="E75" s="1059"/>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3"/>
      <c r="AR75" s="438">
        <f>(SUM(H75:AP75))*G75</f>
        <v>0</v>
      </c>
      <c r="AS75" s="438">
        <f>IF('Study Information &amp; rates'!$B$43="Yes",AR75*0.287,0)</f>
        <v>0</v>
      </c>
      <c r="AT75" s="438">
        <f>IF('Study Information &amp; rates'!$B$43="No",0,AR75*0.05)</f>
        <v>0</v>
      </c>
      <c r="AU75" s="438">
        <f>IF('Study Information &amp; rates'!$B$44="No",AR75+AS75+AT75,'Set-up and other costs'!$B$18*(AR75+AS75+AT75))</f>
        <v>0</v>
      </c>
      <c r="BG75" s="183" t="b">
        <f>IF($B75='Look Up'!$A$5,$H75)</f>
        <v>0</v>
      </c>
      <c r="BH75" s="183" t="b">
        <f>IF($B75='Look Up'!$A$6,$H75)</f>
        <v>0</v>
      </c>
      <c r="BI75" s="183" t="b">
        <f>IF($B75='Look Up'!$A$7,$H75)</f>
        <v>0</v>
      </c>
      <c r="BJ75" s="183" t="b">
        <f>IF($B75='Look Up'!$A$7,$H75)</f>
        <v>0</v>
      </c>
      <c r="BO75" s="183" t="str">
        <f>C75&amp;B75</f>
        <v/>
      </c>
    </row>
    <row r="76" spans="1:67" ht="15.75" customHeight="1">
      <c r="A76" s="8"/>
      <c r="B76" s="8"/>
      <c r="C76" s="442"/>
      <c r="D76" s="1059"/>
      <c r="E76" s="1059"/>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3"/>
      <c r="AR76" s="438">
        <f>(SUM(H76:AP76))*G76</f>
        <v>0</v>
      </c>
      <c r="AS76" s="438">
        <f>IF('Study Information &amp; rates'!$B$43="Yes",AR76*0.287,0)</f>
        <v>0</v>
      </c>
      <c r="AT76" s="438">
        <f>IF('Study Information &amp; rates'!$B$43="No",0,AR76*0.05)</f>
        <v>0</v>
      </c>
      <c r="AU76" s="438">
        <f>IF('Study Information &amp; rates'!$B$44="No",AR76+AS76+AT76,'Set-up and other costs'!$B$18*(AR76+AS76+AT76))</f>
        <v>0</v>
      </c>
      <c r="BG76" s="183" t="b">
        <f>IF($B76='Look Up'!$A$5,$H76)</f>
        <v>0</v>
      </c>
      <c r="BH76" s="183" t="b">
        <f>IF($B76='Look Up'!$A$6,$H76)</f>
        <v>0</v>
      </c>
      <c r="BI76" s="183" t="b">
        <f>IF($B76='Look Up'!$A$7,$H76)</f>
        <v>0</v>
      </c>
      <c r="BJ76" s="183" t="b">
        <f>IF($B76='Look Up'!$A$7,$H76)</f>
        <v>0</v>
      </c>
      <c r="BO76" s="183" t="str">
        <f>C76&amp;B76</f>
        <v/>
      </c>
    </row>
    <row r="77" spans="1:67">
      <c r="A77" s="8"/>
      <c r="B77" s="8"/>
      <c r="C77" s="442"/>
      <c r="D77" s="1059"/>
      <c r="E77" s="1059"/>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3"/>
      <c r="AR77" s="438">
        <f>(SUM(H77:AP77))*G77</f>
        <v>0</v>
      </c>
      <c r="AS77" s="438">
        <f>IF('Study Information &amp; rates'!$B$43="Yes",AR77*0.287,0)</f>
        <v>0</v>
      </c>
      <c r="AT77" s="438">
        <f>IF('Study Information &amp; rates'!$B$43="No",0,AR77*0.05)</f>
        <v>0</v>
      </c>
      <c r="AU77" s="438">
        <f>IF('Study Information &amp; rates'!$B$44="No",AR77+AS77+AT77,'Set-up and other costs'!$B$18*(AR77+AS77+AT77))</f>
        <v>0</v>
      </c>
      <c r="BG77" s="183" t="b">
        <f>IF($B77='Look Up'!$A$5,$H77)</f>
        <v>0</v>
      </c>
      <c r="BH77" s="183" t="b">
        <f>IF($B77='Look Up'!$A$6,$H77)</f>
        <v>0</v>
      </c>
      <c r="BI77" s="183" t="b">
        <f>IF($B77='Look Up'!$A$7,$H77)</f>
        <v>0</v>
      </c>
      <c r="BJ77" s="183" t="b">
        <f>IF($B77='Look Up'!$A$7,$H77)</f>
        <v>0</v>
      </c>
      <c r="BO77" s="183" t="str">
        <f>C77&amp;B77</f>
        <v/>
      </c>
    </row>
    <row r="78" spans="1:67">
      <c r="A78" s="8"/>
      <c r="B78" s="8"/>
      <c r="C78" s="442"/>
      <c r="D78" s="1059"/>
      <c r="E78" s="1059"/>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3"/>
      <c r="AR78" s="438">
        <f>(SUM(H78:AP78))*G78</f>
        <v>0</v>
      </c>
      <c r="AS78" s="438">
        <f>IF('Study Information &amp; rates'!$B$43="Yes",AR78*0.287,0)</f>
        <v>0</v>
      </c>
      <c r="AT78" s="438">
        <f>IF('Study Information &amp; rates'!$B$43="No",0,AR78*0.05)</f>
        <v>0</v>
      </c>
      <c r="AU78" s="438">
        <f>IF('Study Information &amp; rates'!$B$44="No",AR78+AS78+AT78,'Set-up and other costs'!$B$18*(AR78+AS78+AT78))</f>
        <v>0</v>
      </c>
      <c r="BG78" s="183" t="b">
        <f>IF($B78='Look Up'!$A$5,$H78)</f>
        <v>0</v>
      </c>
      <c r="BH78" s="183" t="b">
        <f>IF($B78='Look Up'!$A$6,$H78)</f>
        <v>0</v>
      </c>
      <c r="BI78" s="183" t="b">
        <f>IF($B78='Look Up'!$A$7,$H78)</f>
        <v>0</v>
      </c>
      <c r="BJ78" s="183" t="b">
        <f>IF($B78='Look Up'!$A$7,$H78)</f>
        <v>0</v>
      </c>
      <c r="BO78" s="183" t="str">
        <f>C78&amp;B78</f>
        <v/>
      </c>
    </row>
    <row r="79" spans="1:67" ht="15.75" customHeight="1">
      <c r="A79" s="8"/>
      <c r="B79" s="8"/>
      <c r="C79" s="442"/>
      <c r="D79" s="1059"/>
      <c r="E79" s="1059"/>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3"/>
      <c r="AR79" s="438">
        <f>(SUM(H79:AP79))*G79</f>
        <v>0</v>
      </c>
      <c r="AS79" s="438">
        <f>IF('Study Information &amp; rates'!$B$43="Yes",AR79*0.287,0)</f>
        <v>0</v>
      </c>
      <c r="AT79" s="438">
        <f>IF('Study Information &amp; rates'!$B$43="No",0,AR79*0.05)</f>
        <v>0</v>
      </c>
      <c r="AU79" s="438">
        <f>IF('Study Information &amp; rates'!$B$44="No",AR79+AS79+AT79,'Set-up and other costs'!$B$18*(AR79+AS79+AT79))</f>
        <v>0</v>
      </c>
      <c r="BG79" s="183" t="b">
        <f>IF($B79='Look Up'!$A$5,$H79)</f>
        <v>0</v>
      </c>
      <c r="BH79" s="183" t="b">
        <f>IF($B79='Look Up'!$A$6,$H79)</f>
        <v>0</v>
      </c>
      <c r="BI79" s="183" t="b">
        <f>IF($B79='Look Up'!$A$7,$H79)</f>
        <v>0</v>
      </c>
      <c r="BJ79" s="183" t="b">
        <f>IF($B79='Look Up'!$A$7,$H79)</f>
        <v>0</v>
      </c>
      <c r="BO79" s="183" t="str">
        <f>C79&amp;B79</f>
        <v/>
      </c>
    </row>
    <row r="80" spans="1:67" ht="15" customHeight="1">
      <c r="A80" s="8"/>
      <c r="B80" s="8"/>
      <c r="C80" s="442"/>
      <c r="D80" s="1059"/>
      <c r="E80" s="1059"/>
      <c r="F80" s="459"/>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3"/>
      <c r="AR80" s="438">
        <f>(SUM(H80:AP80))*G80</f>
        <v>0</v>
      </c>
      <c r="AS80" s="438">
        <f>IF('Study Information &amp; rates'!$B$43="Yes",AR80*0.287,0)</f>
        <v>0</v>
      </c>
      <c r="AT80" s="438">
        <f>IF('Study Information &amp; rates'!$B$43="No",0,AR80*0.05)</f>
        <v>0</v>
      </c>
      <c r="AU80" s="438">
        <f>IF('Study Information &amp; rates'!$B$44="No",AR80+AS80+AT80,'Set-up and other costs'!$B$18*(AR80+AS80+AT80))</f>
        <v>0</v>
      </c>
      <c r="BG80" s="183" t="b">
        <f>IF($B80='Look Up'!$A$5,$H80)</f>
        <v>0</v>
      </c>
      <c r="BH80" s="183" t="b">
        <f>IF($B80='Look Up'!$A$6,$H80)</f>
        <v>0</v>
      </c>
      <c r="BI80" s="183" t="b">
        <f>IF($B80='Look Up'!$A$7,$H80)</f>
        <v>0</v>
      </c>
      <c r="BJ80" s="183" t="b">
        <f>IF($B80='Look Up'!$A$7,$H80)</f>
        <v>0</v>
      </c>
      <c r="BO80" s="183" t="str">
        <f>C80&amp;B80</f>
        <v/>
      </c>
    </row>
    <row r="81" spans="1:47">
      <c r="A81" s="508"/>
      <c r="B81" s="508"/>
      <c r="C81" s="508"/>
      <c r="D81" s="508"/>
      <c r="E81" s="508"/>
      <c r="F81" s="508"/>
      <c r="G81" s="508"/>
      <c r="H81" s="506">
        <f>SUM(H55:H80)</f>
        <v>0</v>
      </c>
      <c r="I81" s="506">
        <f>SUM(I55:I80)</f>
        <v>0</v>
      </c>
      <c r="J81" s="506">
        <f>SUM(J55:J80)</f>
        <v>0</v>
      </c>
      <c r="K81" s="506">
        <f>SUM(K55:K80)</f>
        <v>0</v>
      </c>
      <c r="L81" s="506">
        <f>SUM(L55:L80)</f>
        <v>0</v>
      </c>
      <c r="M81" s="506">
        <f>SUM(M55:M80)</f>
        <v>0</v>
      </c>
      <c r="N81" s="506">
        <f>SUM(N55:N80)</f>
        <v>0</v>
      </c>
      <c r="O81" s="506">
        <f>SUM(O55:O80)</f>
        <v>0</v>
      </c>
      <c r="P81" s="506">
        <f>SUM(P55:P80)</f>
        <v>0</v>
      </c>
      <c r="Q81" s="506">
        <f>SUM(Q55:Q80)</f>
        <v>0</v>
      </c>
      <c r="R81" s="506">
        <f>SUM(R55:R80)</f>
        <v>0</v>
      </c>
      <c r="S81" s="506">
        <f>SUM(S55:S80)</f>
        <v>0</v>
      </c>
      <c r="T81" s="506">
        <f>SUM(T55:T80)</f>
        <v>0</v>
      </c>
      <c r="U81" s="506">
        <f>SUM(U55:U80)</f>
        <v>0</v>
      </c>
      <c r="V81" s="506">
        <f>SUM(V55:V80)</f>
        <v>0</v>
      </c>
      <c r="W81" s="506">
        <f>SUM(W55:W80)</f>
        <v>0</v>
      </c>
      <c r="X81" s="506">
        <f>SUM(X55:X80)</f>
        <v>0</v>
      </c>
      <c r="Y81" s="506">
        <f>SUM(Y55:Y80)</f>
        <v>0</v>
      </c>
      <c r="Z81" s="506">
        <f>SUM(Z55:Z80)</f>
        <v>0</v>
      </c>
      <c r="AA81" s="506">
        <f>SUM(AA55:AA80)</f>
        <v>0</v>
      </c>
      <c r="AB81" s="506">
        <f>SUM(AB55:AB80)</f>
        <v>0</v>
      </c>
      <c r="AC81" s="506">
        <f>SUM(AC55:AC80)</f>
        <v>0</v>
      </c>
      <c r="AD81" s="506">
        <f>SUM(AD55:AD80)</f>
        <v>0</v>
      </c>
      <c r="AE81" s="506">
        <f>SUM(AE55:AE80)</f>
        <v>0</v>
      </c>
      <c r="AF81" s="506">
        <f>SUM(AF55:AF80)</f>
        <v>0</v>
      </c>
      <c r="AG81" s="506">
        <f>SUM(AG55:AG80)</f>
        <v>0</v>
      </c>
      <c r="AH81" s="506">
        <f>SUM(AH55:AH80)</f>
        <v>0</v>
      </c>
      <c r="AI81" s="506">
        <f>SUM(AI55:AI80)</f>
        <v>0</v>
      </c>
      <c r="AJ81" s="506">
        <f>SUM(AJ55:AJ80)</f>
        <v>0</v>
      </c>
      <c r="AK81" s="506">
        <f>SUM(AK55:AK80)</f>
        <v>0</v>
      </c>
      <c r="AL81" s="506">
        <f>SUM(AL55:AL80)</f>
        <v>0</v>
      </c>
      <c r="AM81" s="506">
        <f>SUM(AM55:AM80)</f>
        <v>0</v>
      </c>
      <c r="AN81" s="506">
        <f>SUM(AN55:AN80)</f>
        <v>0</v>
      </c>
      <c r="AO81" s="506">
        <f>SUM(AO55:AO80)</f>
        <v>0</v>
      </c>
      <c r="AP81" s="506">
        <f>SUM(AP55:AP80)</f>
        <v>0</v>
      </c>
      <c r="AQ81" s="427"/>
      <c r="AR81" s="438">
        <f>SUM(AR55:AR80)</f>
        <v>0</v>
      </c>
      <c r="AS81" s="438">
        <f>SUM(AS55:AS80)</f>
        <v>0</v>
      </c>
      <c r="AT81" s="438">
        <f>SUM(AT55:AT80)</f>
        <v>0</v>
      </c>
      <c r="AU81" s="438">
        <f>IF('Study Information &amp; rates'!$B$44="No",AR81+AS81+AT81,'Set-up and other costs'!$B$18*(AR81+AS81+AT81))</f>
        <v>0</v>
      </c>
    </row>
    <row r="82" spans="1:48">
      <c r="A82" s="508"/>
      <c r="B82" s="508"/>
      <c r="C82" s="508"/>
      <c r="D82" s="508"/>
      <c r="E82" s="508"/>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c r="AT82" s="508"/>
      <c r="AU82" s="508"/>
      <c r="AV82" s="508"/>
    </row>
    <row r="83" spans="1:48" ht="13.5" thickBot="1">
      <c r="A83" s="508"/>
      <c r="B83" s="508"/>
      <c r="C83" s="508"/>
      <c r="D83" s="508"/>
      <c r="E83" s="508"/>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c r="AN83" s="508"/>
      <c r="AO83" s="508"/>
      <c r="AP83" s="508"/>
      <c r="AQ83" s="508"/>
      <c r="AR83" s="508" t="s">
        <v>50</v>
      </c>
      <c r="AS83" s="508"/>
      <c r="AT83" s="508"/>
      <c r="AU83" s="508"/>
      <c r="AV83" s="508"/>
    </row>
    <row r="84" spans="1:59" ht="13.5" thickBot="1">
      <c r="A84" s="510" t="s">
        <v>1972</v>
      </c>
      <c r="B84" s="511"/>
      <c r="C84" s="511"/>
      <c r="D84" s="511"/>
      <c r="E84" s="511"/>
      <c r="F84" s="511"/>
      <c r="G84" s="512"/>
      <c r="H84" s="513">
        <f>(H47*'Study Information &amp; rates'!$B$101)</f>
        <v>0</v>
      </c>
      <c r="I84" s="514">
        <f>(I47*'Study Information &amp; rates'!$B$101)</f>
        <v>0</v>
      </c>
      <c r="J84" s="514">
        <f>(J47*'Study Information &amp; rates'!$B$101)</f>
        <v>0</v>
      </c>
      <c r="K84" s="514">
        <f>(K47*'Study Information &amp; rates'!$B$101)</f>
        <v>0</v>
      </c>
      <c r="L84" s="514">
        <f>(L47*'Study Information &amp; rates'!$B$101)</f>
        <v>0</v>
      </c>
      <c r="M84" s="514">
        <f>(M47*'Study Information &amp; rates'!$B$101)</f>
        <v>0</v>
      </c>
      <c r="N84" s="514">
        <f>(N47*'Study Information &amp; rates'!$B$101)</f>
        <v>0</v>
      </c>
      <c r="O84" s="514">
        <f>(O47*'Study Information &amp; rates'!$B$101)</f>
        <v>0</v>
      </c>
      <c r="P84" s="514">
        <f>(P47*'Study Information &amp; rates'!$B$101)</f>
        <v>0</v>
      </c>
      <c r="Q84" s="514">
        <f>(Q47*'Study Information &amp; rates'!$B$101)</f>
        <v>0</v>
      </c>
      <c r="R84" s="514">
        <f>(R47*'Study Information &amp; rates'!$B$101)</f>
        <v>0</v>
      </c>
      <c r="S84" s="514">
        <f>(S47*'Study Information &amp; rates'!$B$101)</f>
        <v>0</v>
      </c>
      <c r="T84" s="514">
        <f>(T47*'Study Information &amp; rates'!$B$101)</f>
        <v>0</v>
      </c>
      <c r="U84" s="514">
        <f>(U47*'Study Information &amp; rates'!$B$101)</f>
        <v>0</v>
      </c>
      <c r="V84" s="514">
        <f>(V47*'Study Information &amp; rates'!$B$101)</f>
        <v>0</v>
      </c>
      <c r="W84" s="514">
        <f>(W47*'Study Information &amp; rates'!$B$101)</f>
        <v>0</v>
      </c>
      <c r="X84" s="514">
        <f>(X47*'Study Information &amp; rates'!$B$101)</f>
        <v>0</v>
      </c>
      <c r="Y84" s="514">
        <f>(Y47*'Study Information &amp; rates'!$B$101)</f>
        <v>0</v>
      </c>
      <c r="Z84" s="514">
        <f>(Z47*'Study Information &amp; rates'!$B$101)</f>
        <v>0</v>
      </c>
      <c r="AA84" s="514">
        <f>(AA47*'Study Information &amp; rates'!$B$101)</f>
        <v>0</v>
      </c>
      <c r="AB84" s="514">
        <f>(AB47*'Study Information &amp; rates'!$B$101)</f>
        <v>0</v>
      </c>
      <c r="AC84" s="514">
        <f>(AC47*'Study Information &amp; rates'!$B$101)</f>
        <v>0</v>
      </c>
      <c r="AD84" s="514">
        <f>(AD47*'Study Information &amp; rates'!$B$101)</f>
        <v>0</v>
      </c>
      <c r="AE84" s="514">
        <f>(AE47*'Study Information &amp; rates'!$B$101)</f>
        <v>0</v>
      </c>
      <c r="AF84" s="514">
        <f>(AF47*'Study Information &amp; rates'!$B$101)</f>
        <v>0</v>
      </c>
      <c r="AG84" s="514">
        <f>(AG47*'Study Information &amp; rates'!$B$101)</f>
        <v>0</v>
      </c>
      <c r="AH84" s="514">
        <f>(AH47*'Study Information &amp; rates'!$B$101)</f>
        <v>0</v>
      </c>
      <c r="AI84" s="514">
        <f>(AI47*'Study Information &amp; rates'!$B$101)</f>
        <v>0</v>
      </c>
      <c r="AJ84" s="514">
        <f>(AJ47*'Study Information &amp; rates'!$B$101)</f>
        <v>0</v>
      </c>
      <c r="AK84" s="514">
        <f>(AK47*'Study Information &amp; rates'!$B$101)</f>
        <v>0</v>
      </c>
      <c r="AL84" s="514">
        <f>(AL47*'Study Information &amp; rates'!$B$101)</f>
        <v>0</v>
      </c>
      <c r="AM84" s="514">
        <f>(AM47*'Study Information &amp; rates'!$B$101)</f>
        <v>0</v>
      </c>
      <c r="AN84" s="514">
        <f>(AN47*'Study Information &amp; rates'!$B$101)</f>
        <v>0</v>
      </c>
      <c r="AO84" s="514">
        <f>(AO47*'Study Information &amp; rates'!$B$101)</f>
        <v>0</v>
      </c>
      <c r="AP84" s="514">
        <f>(AP47*'Study Information &amp; rates'!$B$101)</f>
        <v>0</v>
      </c>
      <c r="AQ84" s="471">
        <f>SUM(H84:AP84)</f>
        <v>0</v>
      </c>
      <c r="AR84" s="515">
        <f>SUM(H84:AP84)</f>
        <v>0</v>
      </c>
      <c r="AS84" s="508"/>
      <c r="AT84" s="508"/>
      <c r="AU84" s="508"/>
      <c r="AV84" s="508"/>
      <c r="BB84" s="467">
        <f>SUMIF($BH:$BH,1,$C:$C)+SUMIF($BJ:$BJ,1,$C:$C)</f>
        <v>0</v>
      </c>
      <c r="BC84" s="466">
        <f>BB84*'Study Information &amp; rates'!$B$101</f>
        <v>0</v>
      </c>
      <c r="BD84" s="447">
        <f>IF('Study Information &amp; rates'!$B$43='Study Information &amp; rates'!$V$12,BC84*0.287,0)</f>
        <v>0</v>
      </c>
      <c r="BE84" s="447">
        <f>IF(($AR$51*'Study Information &amp; rates'!$B$27)&gt;5000,BC84*0.05,0)</f>
        <v>0</v>
      </c>
      <c r="BF84" s="447">
        <f>BC84+BD84+BE84</f>
        <v>0</v>
      </c>
      <c r="BG84" s="183" t="b">
        <f>BF84=BF47</f>
        <v>1</v>
      </c>
    </row>
    <row r="85" spans="1:59" ht="13.5" thickBot="1">
      <c r="A85" s="510" t="s">
        <v>1973</v>
      </c>
      <c r="B85" s="516"/>
      <c r="C85" s="516"/>
      <c r="D85" s="516"/>
      <c r="E85" s="516"/>
      <c r="F85" s="516"/>
      <c r="G85" s="517"/>
      <c r="H85" s="513">
        <f>(H48*'Study Information &amp; rates'!$C$101)</f>
        <v>0</v>
      </c>
      <c r="I85" s="513">
        <f>(I48*'Study Information &amp; rates'!$C$101)</f>
        <v>0</v>
      </c>
      <c r="J85" s="513">
        <f>(J48*'Study Information &amp; rates'!$C$101)</f>
        <v>0</v>
      </c>
      <c r="K85" s="513">
        <f>(K48*'Study Information &amp; rates'!$C$101)</f>
        <v>0</v>
      </c>
      <c r="L85" s="513">
        <f>(L48*'Study Information &amp; rates'!$C$101)</f>
        <v>0</v>
      </c>
      <c r="M85" s="513">
        <f>(M48*'Study Information &amp; rates'!$C$101)</f>
        <v>0</v>
      </c>
      <c r="N85" s="513">
        <f>(N48*'Study Information &amp; rates'!$C$101)</f>
        <v>0</v>
      </c>
      <c r="O85" s="513">
        <f>(O48*'Study Information &amp; rates'!$C$101)</f>
        <v>0</v>
      </c>
      <c r="P85" s="513">
        <f>(P48*'Study Information &amp; rates'!$C$101)</f>
        <v>0</v>
      </c>
      <c r="Q85" s="513">
        <f>(Q48*'Study Information &amp; rates'!$C$101)</f>
        <v>0</v>
      </c>
      <c r="R85" s="513">
        <f>(R48*'Study Information &amp; rates'!$C$101)</f>
        <v>0</v>
      </c>
      <c r="S85" s="513">
        <f>(S48*'Study Information &amp; rates'!$C$101)</f>
        <v>0</v>
      </c>
      <c r="T85" s="513">
        <f>(T48*'Study Information &amp; rates'!$C$101)</f>
        <v>0</v>
      </c>
      <c r="U85" s="513">
        <f>(U48*'Study Information &amp; rates'!$C$101)</f>
        <v>0</v>
      </c>
      <c r="V85" s="513">
        <f>(V48*'Study Information &amp; rates'!$C$101)</f>
        <v>0</v>
      </c>
      <c r="W85" s="513">
        <f>(W48*'Study Information &amp; rates'!$C$101)</f>
        <v>0</v>
      </c>
      <c r="X85" s="513">
        <f>(X48*'Study Information &amp; rates'!$C$101)</f>
        <v>0</v>
      </c>
      <c r="Y85" s="513">
        <f>(Y48*'Study Information &amp; rates'!$C$101)</f>
        <v>0</v>
      </c>
      <c r="Z85" s="513">
        <f>(Z48*'Study Information &amp; rates'!$C$101)</f>
        <v>0</v>
      </c>
      <c r="AA85" s="513">
        <f>(AA48*'Study Information &amp; rates'!$C$101)</f>
        <v>0</v>
      </c>
      <c r="AB85" s="513">
        <f>(AB48*'Study Information &amp; rates'!$C$101)</f>
        <v>0</v>
      </c>
      <c r="AC85" s="513">
        <f>(AC48*'Study Information &amp; rates'!$C$101)</f>
        <v>0</v>
      </c>
      <c r="AD85" s="513">
        <f>(AD48*'Study Information &amp; rates'!$C$101)</f>
        <v>0</v>
      </c>
      <c r="AE85" s="513">
        <f>(AE48*'Study Information &amp; rates'!$C$101)</f>
        <v>0</v>
      </c>
      <c r="AF85" s="513">
        <f>(AF48*'Study Information &amp; rates'!$C$101)</f>
        <v>0</v>
      </c>
      <c r="AG85" s="513">
        <f>(AG48*'Study Information &amp; rates'!$C$101)</f>
        <v>0</v>
      </c>
      <c r="AH85" s="513">
        <f>(AH48*'Study Information &amp; rates'!$C$101)</f>
        <v>0</v>
      </c>
      <c r="AI85" s="513">
        <f>(AI48*'Study Information &amp; rates'!$C$101)</f>
        <v>0</v>
      </c>
      <c r="AJ85" s="513">
        <f>(AJ48*'Study Information &amp; rates'!$C$101)</f>
        <v>0</v>
      </c>
      <c r="AK85" s="513">
        <f>(AK48*'Study Information &amp; rates'!$C$101)</f>
        <v>0</v>
      </c>
      <c r="AL85" s="513">
        <f>(AL48*'Study Information &amp; rates'!$C$101)</f>
        <v>0</v>
      </c>
      <c r="AM85" s="513">
        <f>(AM48*'Study Information &amp; rates'!$C$101)</f>
        <v>0</v>
      </c>
      <c r="AN85" s="513">
        <f>(AN48*'Study Information &amp; rates'!$C$101)</f>
        <v>0</v>
      </c>
      <c r="AO85" s="513">
        <f>(AO48*'Study Information &amp; rates'!$C$101)</f>
        <v>0</v>
      </c>
      <c r="AP85" s="513">
        <f>(AP48*'Study Information &amp; rates'!$C$101)</f>
        <v>0</v>
      </c>
      <c r="AQ85" s="471">
        <f>SUM(H85:AP85)</f>
        <v>0</v>
      </c>
      <c r="AR85" s="438">
        <f>'Set-up and other costs'!$B$18*'Per patient Arm 1'!AQ85</f>
        <v>0</v>
      </c>
      <c r="AS85" s="508"/>
      <c r="AT85" s="508"/>
      <c r="AU85" s="508"/>
      <c r="AV85" s="508"/>
      <c r="BB85" s="467">
        <f>SUMIF($BH:$BH,1,$D:$D)+SUMIF($BJ:$BJ,1,$D:$D)</f>
        <v>0</v>
      </c>
      <c r="BC85" s="466">
        <f>BB85*'Study Information &amp; rates'!$C$101</f>
        <v>0</v>
      </c>
      <c r="BD85" s="447">
        <f>IF('Study Information &amp; rates'!$B$43='Study Information &amp; rates'!$V$12,BC85*0.287,0)</f>
        <v>0</v>
      </c>
      <c r="BE85" s="447">
        <f>IF(($AR$51*'Study Information &amp; rates'!$B$27)&gt;5000,BC85*0.05,0)</f>
        <v>0</v>
      </c>
      <c r="BF85" s="447">
        <f>BC85+BD85+BE85</f>
        <v>0</v>
      </c>
      <c r="BG85" s="183" t="b">
        <f>BF85=BF48</f>
        <v>1</v>
      </c>
    </row>
    <row r="86" spans="1:59" ht="13.5" thickBot="1">
      <c r="A86" s="518" t="s">
        <v>47</v>
      </c>
      <c r="B86" s="516"/>
      <c r="C86" s="516"/>
      <c r="D86" s="516"/>
      <c r="E86" s="516"/>
      <c r="F86" s="516"/>
      <c r="G86" s="517"/>
      <c r="H86" s="519">
        <f>(H49*'Study Information &amp; rates'!$D$101)</f>
        <v>0</v>
      </c>
      <c r="I86" s="520">
        <f>(I49*'Study Information &amp; rates'!$D$101)</f>
        <v>0</v>
      </c>
      <c r="J86" s="520">
        <f>(J49*'Study Information &amp; rates'!$D$101)</f>
        <v>0</v>
      </c>
      <c r="K86" s="520">
        <f>(K49*'Study Information &amp; rates'!$D$101)</f>
        <v>0</v>
      </c>
      <c r="L86" s="520">
        <f>(L49*'Study Information &amp; rates'!$D$101)</f>
        <v>0</v>
      </c>
      <c r="M86" s="520">
        <f>(M49*'Study Information &amp; rates'!$D$101)</f>
        <v>0</v>
      </c>
      <c r="N86" s="520">
        <f>(N49*'Study Information &amp; rates'!$D$101)</f>
        <v>0</v>
      </c>
      <c r="O86" s="520">
        <f>(O49*'Study Information &amp; rates'!$D$101)</f>
        <v>0</v>
      </c>
      <c r="P86" s="520">
        <f>(P49*'Study Information &amp; rates'!$D$101)</f>
        <v>0</v>
      </c>
      <c r="Q86" s="520">
        <f>(Q49*'Study Information &amp; rates'!$D$101)</f>
        <v>0</v>
      </c>
      <c r="R86" s="520">
        <f>(R49*'Study Information &amp; rates'!$D$101)</f>
        <v>0</v>
      </c>
      <c r="S86" s="520">
        <f>(S49*'Study Information &amp; rates'!$D$101)</f>
        <v>0</v>
      </c>
      <c r="T86" s="520">
        <f>(T49*'Study Information &amp; rates'!$D$101)</f>
        <v>0</v>
      </c>
      <c r="U86" s="520">
        <f>(U49*'Study Information &amp; rates'!$D$101)</f>
        <v>0</v>
      </c>
      <c r="V86" s="520">
        <f>(V49*'Study Information &amp; rates'!$D$101)</f>
        <v>0</v>
      </c>
      <c r="W86" s="520">
        <f>(W49*'Study Information &amp; rates'!$D$101)</f>
        <v>0</v>
      </c>
      <c r="X86" s="520">
        <f>(X49*'Study Information &amp; rates'!$D$101)</f>
        <v>0</v>
      </c>
      <c r="Y86" s="520">
        <f>(Y49*'Study Information &amp; rates'!$D$101)</f>
        <v>0</v>
      </c>
      <c r="Z86" s="520">
        <f>(Z49*'Study Information &amp; rates'!$D$101)</f>
        <v>0</v>
      </c>
      <c r="AA86" s="520">
        <f>(AA49*'Study Information &amp; rates'!$D$101)</f>
        <v>0</v>
      </c>
      <c r="AB86" s="520">
        <f>(AB49*'Study Information &amp; rates'!$D$101)</f>
        <v>0</v>
      </c>
      <c r="AC86" s="520">
        <f>(AC49*'Study Information &amp; rates'!$D$101)</f>
        <v>0</v>
      </c>
      <c r="AD86" s="520">
        <f>(AD49*'Study Information &amp; rates'!$D$101)</f>
        <v>0</v>
      </c>
      <c r="AE86" s="520">
        <f>(AE49*'Study Information &amp; rates'!$D$101)</f>
        <v>0</v>
      </c>
      <c r="AF86" s="520">
        <f>(AF49*'Study Information &amp; rates'!$D$101)</f>
        <v>0</v>
      </c>
      <c r="AG86" s="520">
        <f>(AG49*'Study Information &amp; rates'!$D$101)</f>
        <v>0</v>
      </c>
      <c r="AH86" s="520">
        <f>(AH49*'Study Information &amp; rates'!$D$101)</f>
        <v>0</v>
      </c>
      <c r="AI86" s="520">
        <f>(AI49*'Study Information &amp; rates'!$D$101)</f>
        <v>0</v>
      </c>
      <c r="AJ86" s="520">
        <f>(AJ49*'Study Information &amp; rates'!$D$101)</f>
        <v>0</v>
      </c>
      <c r="AK86" s="520">
        <f>(AK49*'Study Information &amp; rates'!$D$101)</f>
        <v>0</v>
      </c>
      <c r="AL86" s="520">
        <f>(AL49*'Study Information &amp; rates'!$D$101)</f>
        <v>0</v>
      </c>
      <c r="AM86" s="520">
        <f>(AM49*'Study Information &amp; rates'!$D$101)</f>
        <v>0</v>
      </c>
      <c r="AN86" s="520">
        <f>(AN49*'Study Information &amp; rates'!$D$101)</f>
        <v>0</v>
      </c>
      <c r="AO86" s="520">
        <f>(AO49*'Study Information &amp; rates'!$D$101)</f>
        <v>0</v>
      </c>
      <c r="AP86" s="520">
        <f>(AP49*'Study Information &amp; rates'!$D$101)</f>
        <v>0</v>
      </c>
      <c r="AQ86" s="471">
        <f>SUM(H86:AP86)</f>
        <v>0</v>
      </c>
      <c r="AR86" s="438">
        <f>'Set-up and other costs'!$B$18*'Per patient Arm 1'!AQ86</f>
        <v>0</v>
      </c>
      <c r="AS86" s="508"/>
      <c r="AT86" s="508"/>
      <c r="AU86" s="508"/>
      <c r="AV86" s="508"/>
      <c r="BB86" s="467">
        <f>SUMIF($BH:$BH,1,$E:$E)+SUMIF($BJ:$BJ,1,$E:$E)</f>
        <v>0</v>
      </c>
      <c r="BC86" s="466">
        <f>BB86*'Study Information &amp; rates'!$D$101</f>
        <v>0</v>
      </c>
      <c r="BD86" s="447">
        <f>IF('Study Information &amp; rates'!$B$43='Study Information &amp; rates'!$V$12,BC86*0.287,0)</f>
        <v>0</v>
      </c>
      <c r="BE86" s="447">
        <f>IF(($AR$51*'Study Information &amp; rates'!$B$27)&gt;5000,BC86*0.05,0)</f>
        <v>0</v>
      </c>
      <c r="BF86" s="447">
        <f>BC86+BD86+BE86</f>
        <v>0</v>
      </c>
      <c r="BG86" s="183" t="b">
        <f>BF86=BF49</f>
        <v>1</v>
      </c>
    </row>
    <row r="87" spans="1:59" ht="13.5" thickBot="1">
      <c r="A87" s="521" t="s">
        <v>48</v>
      </c>
      <c r="B87" s="516"/>
      <c r="C87" s="516"/>
      <c r="D87" s="516"/>
      <c r="E87" s="516"/>
      <c r="F87" s="516"/>
      <c r="G87" s="517"/>
      <c r="H87" s="522">
        <f>(H50*'Study Information &amp; rates'!$F$101)</f>
        <v>0</v>
      </c>
      <c r="I87" s="523">
        <f>(I50*'Study Information &amp; rates'!$F$101)</f>
        <v>0</v>
      </c>
      <c r="J87" s="523">
        <f>(J50*'Study Information &amp; rates'!$F$101)</f>
        <v>0</v>
      </c>
      <c r="K87" s="523">
        <f>(K50*'Study Information &amp; rates'!$F$101)</f>
        <v>0</v>
      </c>
      <c r="L87" s="523">
        <f>(L50*'Study Information &amp; rates'!$F$101)</f>
        <v>0</v>
      </c>
      <c r="M87" s="523">
        <f>(M50*'Study Information &amp; rates'!$F$101)</f>
        <v>0</v>
      </c>
      <c r="N87" s="523">
        <f>(N50*'Study Information &amp; rates'!$F$101)</f>
        <v>0</v>
      </c>
      <c r="O87" s="523">
        <f>(O50*'Study Information &amp; rates'!$F$101)</f>
        <v>0</v>
      </c>
      <c r="P87" s="523">
        <f>(P50*'Study Information &amp; rates'!$F$101)</f>
        <v>0</v>
      </c>
      <c r="Q87" s="523">
        <f>(Q50*'Study Information &amp; rates'!$F$101)</f>
        <v>0</v>
      </c>
      <c r="R87" s="523">
        <f>(R50*'Study Information &amp; rates'!$F$101)</f>
        <v>0</v>
      </c>
      <c r="S87" s="523">
        <f>(S50*'Study Information &amp; rates'!$F$101)</f>
        <v>0</v>
      </c>
      <c r="T87" s="523">
        <f>(T50*'Study Information &amp; rates'!$F$101)</f>
        <v>0</v>
      </c>
      <c r="U87" s="523">
        <f>(U50*'Study Information &amp; rates'!$F$101)</f>
        <v>0</v>
      </c>
      <c r="V87" s="523">
        <f>(V50*'Study Information &amp; rates'!$F$101)</f>
        <v>0</v>
      </c>
      <c r="W87" s="523">
        <f>(W50*'Study Information &amp; rates'!$F$101)</f>
        <v>0</v>
      </c>
      <c r="X87" s="523">
        <f>(X50*'Study Information &amp; rates'!$F$101)</f>
        <v>0</v>
      </c>
      <c r="Y87" s="523">
        <f>(Y50*'Study Information &amp; rates'!$F$101)</f>
        <v>0</v>
      </c>
      <c r="Z87" s="523">
        <f>(Z50*'Study Information &amp; rates'!$F$101)</f>
        <v>0</v>
      </c>
      <c r="AA87" s="523">
        <f>(AA50*'Study Information &amp; rates'!$F$101)</f>
        <v>0</v>
      </c>
      <c r="AB87" s="523">
        <f>(AB50*'Study Information &amp; rates'!$F$101)</f>
        <v>0</v>
      </c>
      <c r="AC87" s="523">
        <f>(AC50*'Study Information &amp; rates'!$F$101)</f>
        <v>0</v>
      </c>
      <c r="AD87" s="523">
        <f>(AD50*'Study Information &amp; rates'!$F$101)</f>
        <v>0</v>
      </c>
      <c r="AE87" s="523">
        <f>(AE50*'Study Information &amp; rates'!$F$101)</f>
        <v>0</v>
      </c>
      <c r="AF87" s="523">
        <f>(AF50*'Study Information &amp; rates'!$F$101)</f>
        <v>0</v>
      </c>
      <c r="AG87" s="523">
        <f>(AG50*'Study Information &amp; rates'!$F$101)</f>
        <v>0</v>
      </c>
      <c r="AH87" s="523">
        <f>(AH50*'Study Information &amp; rates'!$F$101)</f>
        <v>0</v>
      </c>
      <c r="AI87" s="523">
        <f>(AI50*'Study Information &amp; rates'!$F$101)</f>
        <v>0</v>
      </c>
      <c r="AJ87" s="523">
        <f>(AJ50*'Study Information &amp; rates'!$F$101)</f>
        <v>0</v>
      </c>
      <c r="AK87" s="523">
        <f>(AK50*'Study Information &amp; rates'!$F$101)</f>
        <v>0</v>
      </c>
      <c r="AL87" s="523">
        <f>(AL50*'Study Information &amp; rates'!$F$101)</f>
        <v>0</v>
      </c>
      <c r="AM87" s="523">
        <f>(AM50*'Study Information &amp; rates'!$F$101)</f>
        <v>0</v>
      </c>
      <c r="AN87" s="523">
        <f>(AN50*'Study Information &amp; rates'!$F$101)</f>
        <v>0</v>
      </c>
      <c r="AO87" s="523">
        <f>(AO50*'Study Information &amp; rates'!$F$101)</f>
        <v>0</v>
      </c>
      <c r="AP87" s="523">
        <f>(AP50*'Study Information &amp; rates'!$F$101)</f>
        <v>0</v>
      </c>
      <c r="AQ87" s="471">
        <f>SUM(H87:AP87)</f>
        <v>0</v>
      </c>
      <c r="AR87" s="438">
        <f>'Set-up and other costs'!$B$18*'Per patient Arm 1'!AQ87</f>
        <v>0</v>
      </c>
      <c r="AS87" s="508"/>
      <c r="AT87" s="508"/>
      <c r="AU87" s="508"/>
      <c r="AV87" s="508"/>
      <c r="BB87" s="467">
        <f>SUMIF($BH:$BH,1,$F:$F)+SUMIF($BJ:$BJ,1,$F:$F)</f>
        <v>0</v>
      </c>
      <c r="BC87" s="466">
        <f>BB87*'Study Information &amp; rates'!$F$101</f>
        <v>0</v>
      </c>
      <c r="BD87" s="447">
        <f>IF('Study Information &amp; rates'!$B$43='Study Information &amp; rates'!$V$12,BC87*0.287,0)</f>
        <v>0</v>
      </c>
      <c r="BE87" s="447">
        <f>IF(($AR$51*'Study Information &amp; rates'!$B$27)&gt;5000,BC87*0.05,0)</f>
        <v>0</v>
      </c>
      <c r="BF87" s="447">
        <f>BC87+BD87+BE87</f>
        <v>0</v>
      </c>
      <c r="BG87" s="183" t="b">
        <f>BF87=BF50</f>
        <v>1</v>
      </c>
    </row>
    <row r="88" spans="1:58" ht="13.5" thickBot="1">
      <c r="A88" s="524" t="s">
        <v>49</v>
      </c>
      <c r="B88" s="525"/>
      <c r="C88" s="525"/>
      <c r="D88" s="525"/>
      <c r="E88" s="525"/>
      <c r="F88" s="525"/>
      <c r="G88" s="526"/>
      <c r="H88" s="527">
        <f>SUMPRODUCT($G$55:$G$80,H55:H80)</f>
        <v>0</v>
      </c>
      <c r="I88" s="528">
        <f>SUMPRODUCT($G$55:$G$80,I55:I80)</f>
        <v>0</v>
      </c>
      <c r="J88" s="528">
        <f>SUMPRODUCT($G$55:$G$80,J55:J80)</f>
        <v>0</v>
      </c>
      <c r="K88" s="528">
        <f>SUMPRODUCT($G$55:$G$80,K55:K80)</f>
        <v>0</v>
      </c>
      <c r="L88" s="528">
        <f>SUMPRODUCT($G$55:$G$80,L55:L80)</f>
        <v>0</v>
      </c>
      <c r="M88" s="528">
        <f>SUMPRODUCT($G$55:$G$80,M55:M80)</f>
        <v>0</v>
      </c>
      <c r="N88" s="528">
        <f>SUMPRODUCT($G$55:$G$80,N55:N80)</f>
        <v>0</v>
      </c>
      <c r="O88" s="528">
        <f>SUMPRODUCT($G$55:$G$80,O55:O80)</f>
        <v>0</v>
      </c>
      <c r="P88" s="528">
        <f>SUMPRODUCT($G$55:$G$80,P55:P80)</f>
        <v>0</v>
      </c>
      <c r="Q88" s="528">
        <f>SUMPRODUCT($G$55:$G$80,Q55:Q80)</f>
        <v>0</v>
      </c>
      <c r="R88" s="528">
        <f>SUMPRODUCT($G$55:$G$80,R55:R80)</f>
        <v>0</v>
      </c>
      <c r="S88" s="528">
        <f>SUMPRODUCT($G$55:$G$80,S55:S80)</f>
        <v>0</v>
      </c>
      <c r="T88" s="528">
        <f>SUMPRODUCT($G$55:$G$80,T55:T80)</f>
        <v>0</v>
      </c>
      <c r="U88" s="528">
        <f>SUMPRODUCT($G$55:$G$80,U55:U80)</f>
        <v>0</v>
      </c>
      <c r="V88" s="528">
        <f>SUMPRODUCT($G$55:$G$80,V55:V80)</f>
        <v>0</v>
      </c>
      <c r="W88" s="528">
        <f>SUMPRODUCT($G$55:$G$80,W55:W80)</f>
        <v>0</v>
      </c>
      <c r="X88" s="528">
        <f>SUMPRODUCT($G$55:$G$80,X55:X80)</f>
        <v>0</v>
      </c>
      <c r="Y88" s="528">
        <f>SUMPRODUCT($G$55:$G$80,Y55:Y80)</f>
        <v>0</v>
      </c>
      <c r="Z88" s="528">
        <f>SUMPRODUCT($G$55:$G$80,Z55:Z80)</f>
        <v>0</v>
      </c>
      <c r="AA88" s="528">
        <f>SUMPRODUCT($G$55:$G$80,AA55:AA80)</f>
        <v>0</v>
      </c>
      <c r="AB88" s="528">
        <f>SUMPRODUCT($G$55:$G$80,AB55:AB80)</f>
        <v>0</v>
      </c>
      <c r="AC88" s="528">
        <f>SUMPRODUCT($G$55:$G$80,AC55:AC80)</f>
        <v>0</v>
      </c>
      <c r="AD88" s="528">
        <f>SUMPRODUCT($G$55:$G$80,AD55:AD80)</f>
        <v>0</v>
      </c>
      <c r="AE88" s="528">
        <f>SUMPRODUCT($G$55:$G$80,AE55:AE80)</f>
        <v>0</v>
      </c>
      <c r="AF88" s="528">
        <f>SUMPRODUCT($G$55:$G$80,AF55:AF80)</f>
        <v>0</v>
      </c>
      <c r="AG88" s="528">
        <f>SUMPRODUCT($G$55:$G$80,AG55:AG80)</f>
        <v>0</v>
      </c>
      <c r="AH88" s="528">
        <f>SUMPRODUCT($G$55:$G$80,AH55:AH80)</f>
        <v>0</v>
      </c>
      <c r="AI88" s="528">
        <f>SUMPRODUCT($G$55:$G$80,AI55:AI80)</f>
        <v>0</v>
      </c>
      <c r="AJ88" s="528">
        <f>SUMPRODUCT($G$55:$G$80,AJ55:AJ80)</f>
        <v>0</v>
      </c>
      <c r="AK88" s="528">
        <f>SUMPRODUCT($G$55:$G$80,AK55:AK80)</f>
        <v>0</v>
      </c>
      <c r="AL88" s="528">
        <f>SUMPRODUCT($G$55:$G$80,AL55:AL80)</f>
        <v>0</v>
      </c>
      <c r="AM88" s="528">
        <f>SUMPRODUCT($G$55:$G$80,AM55:AM80)</f>
        <v>0</v>
      </c>
      <c r="AN88" s="528">
        <f>SUMPRODUCT($G$55:$G$80,AN55:AN80)</f>
        <v>0</v>
      </c>
      <c r="AO88" s="528">
        <f>SUMPRODUCT($G$55:$G$80,AO55:AO80)</f>
        <v>0</v>
      </c>
      <c r="AP88" s="528">
        <f>SUMPRODUCT($G$55:$G$80,AP55:AP80)</f>
        <v>0</v>
      </c>
      <c r="AQ88" s="471">
        <f>SUM(H88:AP88)</f>
        <v>0</v>
      </c>
      <c r="AR88" s="438">
        <f>'Set-up and other costs'!$B$18*'Per patient Arm 1'!AQ88</f>
        <v>0</v>
      </c>
      <c r="AS88" s="508"/>
      <c r="AT88" s="508"/>
      <c r="AU88" s="508"/>
      <c r="AV88" s="508"/>
      <c r="BB88" s="467">
        <f>SUMIF($BH55:$BH80,1,G55:G80)+SUMIF($BJ55:$BJ80,1,G55:G80)</f>
        <v>0</v>
      </c>
      <c r="BF88" s="447">
        <f>BB88</f>
        <v>0</v>
      </c>
    </row>
    <row r="89" spans="1:58" ht="13.5" thickBot="1">
      <c r="A89" s="545"/>
      <c r="B89" s="516"/>
      <c r="C89" s="516"/>
      <c r="D89" s="516"/>
      <c r="E89" s="516"/>
      <c r="F89" s="516"/>
      <c r="G89" s="516"/>
      <c r="H89" s="546"/>
      <c r="I89" s="546"/>
      <c r="J89" s="546"/>
      <c r="K89" s="546"/>
      <c r="L89" s="546"/>
      <c r="M89" s="546"/>
      <c r="N89" s="546"/>
      <c r="O89" s="546"/>
      <c r="P89" s="546"/>
      <c r="Q89" s="546"/>
      <c r="R89" s="546"/>
      <c r="S89" s="546"/>
      <c r="T89" s="546"/>
      <c r="U89" s="546"/>
      <c r="V89" s="546"/>
      <c r="W89" s="546"/>
      <c r="X89" s="546"/>
      <c r="Y89" s="546"/>
      <c r="Z89" s="546"/>
      <c r="AA89" s="546"/>
      <c r="AB89" s="546"/>
      <c r="AC89" s="546"/>
      <c r="AD89" s="546"/>
      <c r="AE89" s="546"/>
      <c r="AF89" s="546"/>
      <c r="AG89" s="546"/>
      <c r="AH89" s="546"/>
      <c r="AI89" s="546"/>
      <c r="AJ89" s="546"/>
      <c r="AK89" s="546"/>
      <c r="AL89" s="546"/>
      <c r="AM89" s="546"/>
      <c r="AN89" s="546"/>
      <c r="AO89" s="546"/>
      <c r="AP89" s="546"/>
      <c r="AQ89" s="547"/>
      <c r="AR89" s="548"/>
      <c r="AS89" s="508"/>
      <c r="AT89" s="508"/>
      <c r="AU89" s="508"/>
      <c r="AV89" s="508"/>
      <c r="BB89" s="549"/>
      <c r="BF89" s="550"/>
    </row>
    <row r="90" spans="1:48" ht="13.5" hidden="1" thickBot="1">
      <c r="A90" s="508"/>
      <c r="B90" s="508"/>
      <c r="C90" s="508"/>
      <c r="D90" s="508"/>
      <c r="E90" s="508"/>
      <c r="F90" s="508"/>
      <c r="G90" s="508"/>
      <c r="H90" s="509">
        <f>SUM(H84:H88)</f>
        <v>0</v>
      </c>
      <c r="I90" s="509">
        <f>SUM(I84:I88)</f>
        <v>0</v>
      </c>
      <c r="J90" s="509">
        <f>SUM(J84:J88)</f>
        <v>0</v>
      </c>
      <c r="K90" s="509">
        <f>SUM(K84:K88)</f>
        <v>0</v>
      </c>
      <c r="L90" s="509">
        <f>SUM(L84:L88)</f>
        <v>0</v>
      </c>
      <c r="M90" s="509">
        <f>SUM(M84:M88)</f>
        <v>0</v>
      </c>
      <c r="N90" s="509">
        <f>SUM(N84:N88)</f>
        <v>0</v>
      </c>
      <c r="O90" s="509">
        <f>SUM(O84:O88)</f>
        <v>0</v>
      </c>
      <c r="P90" s="509">
        <f>SUM(P84:P88)</f>
        <v>0</v>
      </c>
      <c r="Q90" s="509">
        <f>SUM(Q84:Q88)</f>
        <v>0</v>
      </c>
      <c r="R90" s="509">
        <f>SUM(R84:R88)</f>
        <v>0</v>
      </c>
      <c r="S90" s="509">
        <f>SUM(S84:S88)</f>
        <v>0</v>
      </c>
      <c r="T90" s="509">
        <f>SUM(T84:T88)</f>
        <v>0</v>
      </c>
      <c r="U90" s="509">
        <f>SUM(U84:U88)</f>
        <v>0</v>
      </c>
      <c r="V90" s="509">
        <f>SUM(V84:V88)</f>
        <v>0</v>
      </c>
      <c r="W90" s="509">
        <f>SUM(W84:W88)</f>
        <v>0</v>
      </c>
      <c r="X90" s="509">
        <f>SUM(X84:X88)</f>
        <v>0</v>
      </c>
      <c r="Y90" s="509">
        <f>SUM(Y84:Y88)</f>
        <v>0</v>
      </c>
      <c r="Z90" s="509">
        <f>SUM(Z84:Z88)</f>
        <v>0</v>
      </c>
      <c r="AA90" s="509">
        <f>SUM(AA84:AA88)</f>
        <v>0</v>
      </c>
      <c r="AB90" s="509">
        <f>SUM(AB84:AB88)</f>
        <v>0</v>
      </c>
      <c r="AC90" s="509">
        <f>SUM(AC84:AC88)</f>
        <v>0</v>
      </c>
      <c r="AD90" s="509">
        <f>SUM(AD84:AD88)</f>
        <v>0</v>
      </c>
      <c r="AE90" s="509">
        <f>SUM(AE84:AE88)</f>
        <v>0</v>
      </c>
      <c r="AF90" s="509">
        <f>SUM(AF84:AF88)</f>
        <v>0</v>
      </c>
      <c r="AG90" s="509">
        <f>SUM(AG84:AG88)</f>
        <v>0</v>
      </c>
      <c r="AH90" s="509">
        <f>SUM(AH84:AH88)</f>
        <v>0</v>
      </c>
      <c r="AI90" s="509">
        <f>SUM(AI84:AI88)</f>
        <v>0</v>
      </c>
      <c r="AJ90" s="509">
        <f>SUM(AJ84:AJ88)</f>
        <v>0</v>
      </c>
      <c r="AK90" s="509">
        <f>SUM(AK84:AK88)</f>
        <v>0</v>
      </c>
      <c r="AL90" s="509">
        <f>SUM(AL84:AL88)</f>
        <v>0</v>
      </c>
      <c r="AM90" s="509">
        <f>SUM(AM84:AM88)</f>
        <v>0</v>
      </c>
      <c r="AN90" s="509">
        <f>SUM(AN84:AN88)</f>
        <v>0</v>
      </c>
      <c r="AO90" s="509">
        <f>SUM(AO84:AO88)</f>
        <v>0</v>
      </c>
      <c r="AP90" s="509">
        <f>SUM(AP84:AP88)</f>
        <v>0</v>
      </c>
      <c r="AQ90" s="433">
        <f>SUM(AQ84:AQ88)</f>
        <v>0</v>
      </c>
      <c r="AR90" s="508"/>
      <c r="AS90" s="508"/>
      <c r="AT90" s="508"/>
      <c r="AU90" s="508"/>
      <c r="AV90" s="508"/>
    </row>
    <row r="91" spans="1:59" ht="26.5" thickBot="1">
      <c r="A91" s="529" t="s">
        <v>53</v>
      </c>
      <c r="B91" s="525"/>
      <c r="C91" s="525"/>
      <c r="D91" s="525"/>
      <c r="E91" s="525"/>
      <c r="F91" s="525"/>
      <c r="G91" s="526"/>
      <c r="H91" s="528">
        <f>IF('Study Information &amp; rates'!$B$43="No",SUM('Per patient Arm 1'!H84,'Per patient Arm 1'!H85,'Per patient Arm 1'!H86,'Per patient Arm 1'!H87,'Per patient Arm 1'!H88),(0.337*H90)+H90)</f>
        <v>0</v>
      </c>
      <c r="I91" s="528">
        <f>IF('Study Information &amp; rates'!$B$43="No",SUM('Per patient Arm 1'!I84,'Per patient Arm 1'!I85,'Per patient Arm 1'!I86,'Per patient Arm 1'!I87,'Per patient Arm 1'!I88),(0.337*I90)+I90)</f>
        <v>0</v>
      </c>
      <c r="J91" s="528">
        <f>IF('Study Information &amp; rates'!$B$43="No",SUM('Per patient Arm 1'!J84,'Per patient Arm 1'!J85,'Per patient Arm 1'!J86,'Per patient Arm 1'!J87,'Per patient Arm 1'!J88),(0.337*J90)+J90)</f>
        <v>0</v>
      </c>
      <c r="K91" s="528">
        <f>IF('Study Information &amp; rates'!$B$43="No",SUM('Per patient Arm 1'!K84,'Per patient Arm 1'!K85,'Per patient Arm 1'!K86,'Per patient Arm 1'!K87,'Per patient Arm 1'!K88),(0.337*K90)+K90)</f>
        <v>0</v>
      </c>
      <c r="L91" s="528">
        <f>IF('Study Information &amp; rates'!$B$43="No",SUM('Per patient Arm 1'!L84,'Per patient Arm 1'!L85,'Per patient Arm 1'!L86,'Per patient Arm 1'!L87,'Per patient Arm 1'!L88),(0.337*L90)+L90)</f>
        <v>0</v>
      </c>
      <c r="M91" s="528">
        <f>IF('Study Information &amp; rates'!$B$43="No",SUM('Per patient Arm 1'!M84,'Per patient Arm 1'!M85,'Per patient Arm 1'!M86,'Per patient Arm 1'!M87,'Per patient Arm 1'!M88),(0.337*M90)+M90)</f>
        <v>0</v>
      </c>
      <c r="N91" s="528">
        <f>IF('Study Information &amp; rates'!$B$43="No",SUM('Per patient Arm 1'!N84,'Per patient Arm 1'!N85,'Per patient Arm 1'!N86,'Per patient Arm 1'!N87,'Per patient Arm 1'!N88),(0.337*N90)+N90)</f>
        <v>0</v>
      </c>
      <c r="O91" s="528">
        <f>IF('Study Information &amp; rates'!$B$43="No",SUM('Per patient Arm 1'!O84,'Per patient Arm 1'!O85,'Per patient Arm 1'!O86,'Per patient Arm 1'!O87,'Per patient Arm 1'!O88),(0.337*O90)+O90)</f>
        <v>0</v>
      </c>
      <c r="P91" s="528">
        <f>IF('Study Information &amp; rates'!$B$43="No",SUM('Per patient Arm 1'!P84,'Per patient Arm 1'!P85,'Per patient Arm 1'!P86,'Per patient Arm 1'!P87,'Per patient Arm 1'!P88),(0.337*P90)+P90)</f>
        <v>0</v>
      </c>
      <c r="Q91" s="528">
        <f>IF('Study Information &amp; rates'!$B$43="No",SUM('Per patient Arm 1'!Q84,'Per patient Arm 1'!Q85,'Per patient Arm 1'!Q86,'Per patient Arm 1'!Q87,'Per patient Arm 1'!Q88),(0.337*Q90)+Q90)</f>
        <v>0</v>
      </c>
      <c r="R91" s="528">
        <f>IF('Study Information &amp; rates'!$B$43="No",SUM('Per patient Arm 1'!R84,'Per patient Arm 1'!R85,'Per patient Arm 1'!R86,'Per patient Arm 1'!R87,'Per patient Arm 1'!R88),(0.337*R90)+R90)</f>
        <v>0</v>
      </c>
      <c r="S91" s="528">
        <f>IF('Study Information &amp; rates'!$B$43="No",SUM('Per patient Arm 1'!S84,'Per patient Arm 1'!S85,'Per patient Arm 1'!S86,'Per patient Arm 1'!S87,'Per patient Arm 1'!S88),(0.337*S90)+S90)</f>
        <v>0</v>
      </c>
      <c r="T91" s="528">
        <f>IF('Study Information &amp; rates'!$B$43="No",SUM('Per patient Arm 1'!T84,'Per patient Arm 1'!T85,'Per patient Arm 1'!T86,'Per patient Arm 1'!T87,'Per patient Arm 1'!T88),(0.337*T90)+T90)</f>
        <v>0</v>
      </c>
      <c r="U91" s="528">
        <f>IF('Study Information &amp; rates'!$B$43="No",SUM('Per patient Arm 1'!U84,'Per patient Arm 1'!U85,'Per patient Arm 1'!U86,'Per patient Arm 1'!U87,'Per patient Arm 1'!U88),(0.337*U90)+U90)</f>
        <v>0</v>
      </c>
      <c r="V91" s="528">
        <f>IF('Study Information &amp; rates'!$B$43="No",SUM('Per patient Arm 1'!V84,'Per patient Arm 1'!V85,'Per patient Arm 1'!V86,'Per patient Arm 1'!V87,'Per patient Arm 1'!V88),(0.337*V90)+V90)</f>
        <v>0</v>
      </c>
      <c r="W91" s="528">
        <f>IF('Study Information &amp; rates'!$B$43="No",SUM('Per patient Arm 1'!W84,'Per patient Arm 1'!W85,'Per patient Arm 1'!W86,'Per patient Arm 1'!W87,'Per patient Arm 1'!W88),(0.337*W90)+W90)</f>
        <v>0</v>
      </c>
      <c r="X91" s="528">
        <f>IF('Study Information &amp; rates'!$B$43="No",SUM('Per patient Arm 1'!X84,'Per patient Arm 1'!X85,'Per patient Arm 1'!X86,'Per patient Arm 1'!X87,'Per patient Arm 1'!X88),(0.337*X90)+X90)</f>
        <v>0</v>
      </c>
      <c r="Y91" s="528">
        <f>IF('Study Information &amp; rates'!$B$43="No",SUM('Per patient Arm 1'!Y84,'Per patient Arm 1'!Y85,'Per patient Arm 1'!Y86,'Per patient Arm 1'!Y87,'Per patient Arm 1'!Y88),(0.337*Y90)+Y90)</f>
        <v>0</v>
      </c>
      <c r="Z91" s="528">
        <f>IF('Study Information &amp; rates'!$B$43="No",SUM('Per patient Arm 1'!Z84,'Per patient Arm 1'!Z85,'Per patient Arm 1'!Z86,'Per patient Arm 1'!Z87,'Per patient Arm 1'!Z88),(0.337*Z90)+Z90)</f>
        <v>0</v>
      </c>
      <c r="AA91" s="528">
        <f>IF('Study Information &amp; rates'!$B$43="No",SUM('Per patient Arm 1'!AA84,'Per patient Arm 1'!AA85,'Per patient Arm 1'!AA86,'Per patient Arm 1'!AA87,'Per patient Arm 1'!AA88),(0.337*AA90)+AA90)</f>
        <v>0</v>
      </c>
      <c r="AB91" s="528">
        <f>IF('Study Information &amp; rates'!$B$43="No",SUM('Per patient Arm 1'!AB84,'Per patient Arm 1'!AB85,'Per patient Arm 1'!AB86,'Per patient Arm 1'!AB87,'Per patient Arm 1'!AB88),(0.337*AB90)+AB90)</f>
        <v>0</v>
      </c>
      <c r="AC91" s="528">
        <f>IF('Study Information &amp; rates'!$B$43="No",SUM('Per patient Arm 1'!AC84,'Per patient Arm 1'!AC85,'Per patient Arm 1'!AC86,'Per patient Arm 1'!AC87,'Per patient Arm 1'!AC88),(0.337*AC90)+AC90)</f>
        <v>0</v>
      </c>
      <c r="AD91" s="528">
        <f>IF('Study Information &amp; rates'!$B$43="No",SUM('Per patient Arm 1'!AD84,'Per patient Arm 1'!AD85,'Per patient Arm 1'!AD86,'Per patient Arm 1'!AD87,'Per patient Arm 1'!AD88),(0.337*AD90)+AD90)</f>
        <v>0</v>
      </c>
      <c r="AE91" s="528">
        <f>IF('Study Information &amp; rates'!$B$43="No",SUM('Per patient Arm 1'!AE84,'Per patient Arm 1'!AE85,'Per patient Arm 1'!AE86,'Per patient Arm 1'!AE87,'Per patient Arm 1'!AE88),(0.337*AE90)+AE90)</f>
        <v>0</v>
      </c>
      <c r="AF91" s="528">
        <f>IF('Study Information &amp; rates'!$B$43="No",SUM('Per patient Arm 1'!AF84,'Per patient Arm 1'!AF85,'Per patient Arm 1'!AF86,'Per patient Arm 1'!AF87,'Per patient Arm 1'!AF88),(0.337*AF90)+AF90)</f>
        <v>0</v>
      </c>
      <c r="AG91" s="528">
        <f>IF('Study Information &amp; rates'!$B$43="No",SUM('Per patient Arm 1'!AG84,'Per patient Arm 1'!AG85,'Per patient Arm 1'!AG86,'Per patient Arm 1'!AG87,'Per patient Arm 1'!AG88),(0.337*AG90)+AG90)</f>
        <v>0</v>
      </c>
      <c r="AH91" s="528">
        <f>IF('Study Information &amp; rates'!$B$43="No",SUM('Per patient Arm 1'!AH84,'Per patient Arm 1'!AH85,'Per patient Arm 1'!AH86,'Per patient Arm 1'!AH87,'Per patient Arm 1'!AH88),(0.337*AH90)+AH90)</f>
        <v>0</v>
      </c>
      <c r="AI91" s="528">
        <f>IF('Study Information &amp; rates'!$B$43="No",SUM('Per patient Arm 1'!AI84,'Per patient Arm 1'!AI85,'Per patient Arm 1'!AI86,'Per patient Arm 1'!AI87,'Per patient Arm 1'!AI88),(0.337*AI90)+AI90)</f>
        <v>0</v>
      </c>
      <c r="AJ91" s="528">
        <f>IF('Study Information &amp; rates'!$B$43="No",SUM('Per patient Arm 1'!AJ84,'Per patient Arm 1'!AJ85,'Per patient Arm 1'!AJ86,'Per patient Arm 1'!AJ87,'Per patient Arm 1'!AJ88),(0.337*AJ90)+AJ90)</f>
        <v>0</v>
      </c>
      <c r="AK91" s="528">
        <f>IF('Study Information &amp; rates'!$B$43="No",SUM('Per patient Arm 1'!AK84,'Per patient Arm 1'!AK85,'Per patient Arm 1'!AK86,'Per patient Arm 1'!AK87,'Per patient Arm 1'!AK88),(0.337*AK90)+AK90)</f>
        <v>0</v>
      </c>
      <c r="AL91" s="528">
        <f>IF('Study Information &amp; rates'!$B$43="No",SUM('Per patient Arm 1'!AL84,'Per patient Arm 1'!AL85,'Per patient Arm 1'!AL86,'Per patient Arm 1'!AL87,'Per patient Arm 1'!AL88),(0.337*AL90)+AL90)</f>
        <v>0</v>
      </c>
      <c r="AM91" s="528">
        <f>IF('Study Information &amp; rates'!$B$43="No",SUM('Per patient Arm 1'!AM84,'Per patient Arm 1'!AM85,'Per patient Arm 1'!AM86,'Per patient Arm 1'!AM87,'Per patient Arm 1'!AM88),(0.337*AM90)+AM90)</f>
        <v>0</v>
      </c>
      <c r="AN91" s="528">
        <f>IF('Study Information &amp; rates'!$B$43="No",SUM('Per patient Arm 1'!AN84,'Per patient Arm 1'!AN85,'Per patient Arm 1'!AN86,'Per patient Arm 1'!AN87,'Per patient Arm 1'!AN88),(0.337*AN90)+AN90)</f>
        <v>0</v>
      </c>
      <c r="AO91" s="528">
        <f>IF('Study Information &amp; rates'!$B$43="No",SUM('Per patient Arm 1'!AO84,'Per patient Arm 1'!AO85,'Per patient Arm 1'!AO86,'Per patient Arm 1'!AO87,'Per patient Arm 1'!AO88),(0.337*AO90)+AO90)</f>
        <v>0</v>
      </c>
      <c r="AP91" s="528">
        <f>IF('Study Information &amp; rates'!$B$43="No",SUM('Per patient Arm 1'!AP84,'Per patient Arm 1'!AP85,'Per patient Arm 1'!AP86,'Per patient Arm 1'!AP87,'Per patient Arm 1'!AP88),(0.337*AP90)+AP90)</f>
        <v>0</v>
      </c>
      <c r="AQ91" s="531">
        <f>SUM(H91:AP91,AP91)</f>
        <v>0</v>
      </c>
      <c r="AR91" s="438">
        <f>'Set-up and other costs'!$B$18*'Per patient Arm 1'!AQ91</f>
        <v>0</v>
      </c>
      <c r="AS91" s="508"/>
      <c r="AT91" s="508"/>
      <c r="AU91" s="508"/>
      <c r="AV91" s="508"/>
      <c r="BG91" s="447">
        <f>SUM(BF84:BF88)</f>
        <v>0</v>
      </c>
    </row>
    <row r="92" spans="1:48">
      <c r="A92" s="508"/>
      <c r="B92" s="508"/>
      <c r="C92" s="508"/>
      <c r="D92" s="508"/>
      <c r="E92" s="508"/>
      <c r="F92" s="508"/>
      <c r="G92" s="508"/>
      <c r="H92" s="508"/>
      <c r="I92" s="508"/>
      <c r="J92" s="508"/>
      <c r="K92" s="508"/>
      <c r="L92" s="508"/>
      <c r="M92" s="508"/>
      <c r="N92" s="508"/>
      <c r="O92" s="508"/>
      <c r="P92" s="508"/>
      <c r="Q92" s="508"/>
      <c r="R92" s="508"/>
      <c r="S92" s="508"/>
      <c r="T92" s="508"/>
      <c r="U92" s="508"/>
      <c r="V92" s="508"/>
      <c r="W92" s="508"/>
      <c r="X92" s="508"/>
      <c r="Y92" s="508"/>
      <c r="Z92" s="508"/>
      <c r="AA92" s="508"/>
      <c r="AB92" s="508"/>
      <c r="AC92" s="508"/>
      <c r="AD92" s="508"/>
      <c r="AE92" s="508"/>
      <c r="AF92" s="508"/>
      <c r="AG92" s="508"/>
      <c r="AH92" s="508"/>
      <c r="AI92" s="508"/>
      <c r="AJ92" s="508"/>
      <c r="AK92" s="508"/>
      <c r="AL92" s="508"/>
      <c r="AM92" s="508"/>
      <c r="AN92" s="508"/>
      <c r="AO92" s="508"/>
      <c r="AP92" s="508"/>
      <c r="AQ92" s="433">
        <f>AR91*8</f>
        <v>0</v>
      </c>
      <c r="AR92" s="509">
        <f>AR91*8</f>
        <v>0</v>
      </c>
      <c r="AS92" s="508"/>
      <c r="AT92" s="508"/>
      <c r="AU92" s="508"/>
      <c r="AV92" s="508"/>
    </row>
    <row r="93" spans="1:48">
      <c r="A93" s="508"/>
      <c r="B93" s="508"/>
      <c r="C93" s="508"/>
      <c r="D93" s="508"/>
      <c r="E93" s="508"/>
      <c r="F93" s="508"/>
      <c r="G93" s="508"/>
      <c r="H93" s="508"/>
      <c r="I93" s="508"/>
      <c r="J93" s="508"/>
      <c r="K93" s="508"/>
      <c r="L93" s="508"/>
      <c r="M93" s="508"/>
      <c r="N93" s="508"/>
      <c r="O93" s="508"/>
      <c r="P93" s="508"/>
      <c r="Q93" s="508"/>
      <c r="R93" s="508"/>
      <c r="S93" s="508"/>
      <c r="T93" s="508"/>
      <c r="U93" s="508"/>
      <c r="V93" s="508"/>
      <c r="W93" s="508"/>
      <c r="X93" s="508"/>
      <c r="Y93" s="508"/>
      <c r="Z93" s="508"/>
      <c r="AA93" s="508"/>
      <c r="AB93" s="508"/>
      <c r="AC93" s="508"/>
      <c r="AD93" s="508"/>
      <c r="AE93" s="508"/>
      <c r="AF93" s="508"/>
      <c r="AG93" s="508"/>
      <c r="AH93" s="508"/>
      <c r="AI93" s="508"/>
      <c r="AJ93" s="508"/>
      <c r="AK93" s="508"/>
      <c r="AL93" s="508"/>
      <c r="AM93" s="508"/>
      <c r="AN93" s="508"/>
      <c r="AO93" s="508"/>
      <c r="AP93" s="508"/>
      <c r="AQ93" s="433">
        <f>AR92+'Per patient Arm 2'!AR93</f>
        <v>0</v>
      </c>
      <c r="AR93" s="509">
        <f>AR92+'Per patient Arm 2'!AR93</f>
        <v>0</v>
      </c>
      <c r="AS93" s="508"/>
      <c r="AT93" s="508"/>
      <c r="AU93" s="508"/>
      <c r="AV93" s="508"/>
    </row>
    <row r="97" spans="45:45">
      <c r="AS97" s="469">
        <f>(SUM(AR85:AR87)*1.287)+(0.05*SUM(AR85:AR87))</f>
        <v>0</v>
      </c>
    </row>
  </sheetData>
  <mergeCells count="27">
    <mergeCell ref="D59:E59"/>
    <mergeCell ref="D54:E54"/>
    <mergeCell ref="D55:E55"/>
    <mergeCell ref="D56:E56"/>
    <mergeCell ref="D57:E57"/>
    <mergeCell ref="D58:E58"/>
    <mergeCell ref="D71:E71"/>
    <mergeCell ref="D60:E60"/>
    <mergeCell ref="D61:E61"/>
    <mergeCell ref="D62:E62"/>
    <mergeCell ref="D63:E63"/>
    <mergeCell ref="D64:E64"/>
    <mergeCell ref="D65:E65"/>
    <mergeCell ref="D66:E66"/>
    <mergeCell ref="D67:E67"/>
    <mergeCell ref="D68:E68"/>
    <mergeCell ref="D69:E69"/>
    <mergeCell ref="D70:E70"/>
    <mergeCell ref="D78:E78"/>
    <mergeCell ref="D79:E79"/>
    <mergeCell ref="D80:E80"/>
    <mergeCell ref="D72:E72"/>
    <mergeCell ref="D73:E73"/>
    <mergeCell ref="D74:E74"/>
    <mergeCell ref="D75:E75"/>
    <mergeCell ref="D76:E76"/>
    <mergeCell ref="D77:E77"/>
  </mergeCells>
  <conditionalFormatting sqref="AW50:AZ50 A4">
    <cfRule type="containsText" dxfId="68" operator="containsText" text="False" priority="3">
      <formula>NOT(ISERROR(SEARCH("False",A4)))</formula>
    </cfRule>
    <cfRule type="containsText" dxfId="69" operator="containsText" text="True" priority="4">
      <formula>NOT(ISERROR(SEARCH("True",A4)))</formula>
    </cfRule>
  </conditionalFormatting>
  <dataValidations count="8">
    <dataValidation type="list" allowBlank="1" showInputMessage="1" prompt="Please use the drop-down to select the activity type.  If the activity is not in the list, please enter the activity as free text." sqref="A7:A41">
      <formula1>INDIRECT(SUBSTITUTE($A7," ","_"))</formula1>
    </dataValidation>
    <dataValidation type="whole" operator="greaterThan" allowBlank="1" showInputMessage="1" showErrorMessage="1" sqref="H55:AQ55 H7:AQ45">
      <formula1>0</formula1>
    </dataValidation>
    <dataValidation type="list" allowBlank="1" showInputMessage="1" sqref="A55:A80">
      <formula1>CostList</formula1>
    </dataValidation>
    <dataValidation type="list" allowBlank="1" showInputMessage="1" showErrorMessage="1" sqref="B55:B80 B7:B45">
      <formula1>AcCord</formula1>
    </dataValidation>
    <dataValidation type="list" allowBlank="1" showInputMessage="1" showErrorMessage="1" sqref="C55:C80">
      <formula1>Alan2</formula1>
    </dataValidation>
    <dataValidation type="list" allowBlank="1" showInputMessage="1" sqref="A42:A45">
      <formula1>'[1]#REF'!#REF!</formula1>
    </dataValidation>
    <dataValidation type="list" allowBlank="1" showInputMessage="1" showErrorMessage="1" sqref="B55:B80">
      <formula1>'Look Up'!A55:A59</formula1>
    </dataValidation>
    <dataValidation type="list" allowBlank="1" showInputMessage="1" showErrorMessage="1" sqref="B7:B45">
      <formula1>'Look Up'!A5:A9</formula1>
    </dataValidation>
  </dataValidations>
  <pageMargins left="0.7" right="0.7" top="0.75" bottom="0.75" header="0.3" footer="0.3"/>
  <pageSetup paperSize="8" scale="60"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SUHT</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martif1</dc:creator>
  <cp:keywords/>
  <cp:lastModifiedBy>Alice Pengelly</cp:lastModifiedBy>
  <dcterms:created xsi:type="dcterms:W3CDTF">2013-04-08T15:40:08Z</dcterms:created>
  <dcterms:modified xsi:type="dcterms:W3CDTF">2024-10-08T11:57:19Z</dcterms:modified>
  <dc:subject/>
  <cp:lastPrinted>2018-06-19T14:42:56Z</cp:lastPrinted>
  <dc:title>Grant-costing-template-V20-Oct2024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SV_QUERY_LIST_4F35BF76-6C0D-4D9B-82B2-816C12CF3733">
    <vt:lpstr>empty_477D106A-C0D6-4607-AEBD-E2C9D60EA279</vt:lpstr>
  </property>
  <property fmtid="{D5CDD505-2E9C-101B-9397-08002B2CF9AE}" pid="3" name="SV_HIDDEN_GRID_QUERY_LIST_4F35BF76-6C0D-4D9B-82B2-816C12CF3733">
    <vt:lpstr>empty_477D106A-C0D6-4607-AEBD-E2C9D60EA279</vt:lpstr>
  </property>
</Properties>
</file>